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заново распечатать\Меню 2023-2024 2-х раз. 10 дней\"/>
    </mc:Choice>
  </mc:AlternateContent>
  <bookViews>
    <workbookView xWindow="0" yWindow="0" windowWidth="15600" windowHeight="11760" tabRatio="725" activeTab="10"/>
  </bookViews>
  <sheets>
    <sheet name="Титульный лист" sheetId="4" r:id="rId1"/>
    <sheet name="1 день" sheetId="5" r:id="rId2"/>
    <sheet name="2 день" sheetId="6" r:id="rId3"/>
    <sheet name="3 день" sheetId="7" r:id="rId4"/>
    <sheet name="4 день" sheetId="8" r:id="rId5"/>
    <sheet name="5 день" sheetId="9" r:id="rId6"/>
    <sheet name="6 день" sheetId="10" r:id="rId7"/>
    <sheet name="7 день" sheetId="11" r:id="rId8"/>
    <sheet name="8 день" sheetId="12" r:id="rId9"/>
    <sheet name="9 день" sheetId="13" r:id="rId10"/>
    <sheet name="10 день" sheetId="14" r:id="rId11"/>
    <sheet name="свод 10 дней" sheetId="15" r:id="rId12"/>
  </sheets>
  <externalReferences>
    <externalReference r:id="rId13"/>
  </externalReferences>
  <definedNames>
    <definedName name="_xlnm.Print_Area" localSheetId="1">'1 день'!$A$1:$O$51</definedName>
    <definedName name="_xlnm.Print_Area" localSheetId="10">'10 день'!$A$1:$O$56</definedName>
    <definedName name="_xlnm.Print_Area" localSheetId="2">'2 день'!$A$1:$O$55</definedName>
    <definedName name="_xlnm.Print_Area" localSheetId="3">'3 день'!$A$1:$O$56</definedName>
    <definedName name="_xlnm.Print_Area" localSheetId="4">'4 день'!$A$1:$O$57</definedName>
    <definedName name="_xlnm.Print_Area" localSheetId="5">'5 день'!$A$1:$O$57</definedName>
    <definedName name="_xlnm.Print_Area" localSheetId="6">'6 день'!$A$1:$O$56</definedName>
    <definedName name="_xlnm.Print_Area" localSheetId="7">'7 день'!$A$1:$O$57</definedName>
    <definedName name="_xlnm.Print_Area" localSheetId="8">'8 день'!$A$1:$O$57</definedName>
    <definedName name="_xlnm.Print_Area" localSheetId="9">'9 день'!$A$1:$O$56</definedName>
    <definedName name="_xlnm.Print_Area" localSheetId="11">'свод 10 дней'!$A$1:$H$37</definedName>
    <definedName name="_xlnm.Print_Area" localSheetId="0">'Титульный лист'!$A$1:$O$21</definedName>
  </definedNames>
  <calcPr calcId="162913"/>
</workbook>
</file>

<file path=xl/calcChain.xml><?xml version="1.0" encoding="utf-8"?>
<calcChain xmlns="http://schemas.openxmlformats.org/spreadsheetml/2006/main">
  <c r="A16" i="4" l="1"/>
  <c r="G18" i="7" l="1"/>
  <c r="F18" i="7"/>
  <c r="E18" i="7"/>
  <c r="D18" i="7"/>
  <c r="G19" i="5"/>
  <c r="F19" i="5"/>
  <c r="E19" i="5"/>
  <c r="E18" i="5"/>
  <c r="D19" i="5"/>
  <c r="G17" i="7" l="1"/>
  <c r="H8" i="13" l="1"/>
  <c r="K8" i="6"/>
  <c r="D17" i="13" l="1"/>
  <c r="D18" i="8" l="1"/>
  <c r="D14" i="10" l="1"/>
  <c r="D18" i="10" s="1"/>
  <c r="G14" i="10"/>
  <c r="G18" i="10" s="1"/>
  <c r="F14" i="10"/>
  <c r="F18" i="10" s="1"/>
  <c r="E14" i="10"/>
  <c r="E18" i="10" s="1"/>
  <c r="H37" i="15" l="1"/>
  <c r="G37" i="15"/>
  <c r="F37" i="15"/>
  <c r="E37" i="15"/>
  <c r="G51" i="10"/>
  <c r="G51" i="13"/>
  <c r="F27" i="15"/>
  <c r="F14" i="15"/>
  <c r="F13" i="15" l="1"/>
  <c r="G13" i="15"/>
  <c r="G52" i="11"/>
  <c r="G38" i="11"/>
  <c r="G50" i="6"/>
  <c r="G52" i="8"/>
  <c r="G51" i="7"/>
  <c r="D17" i="14" l="1"/>
  <c r="E17" i="14"/>
  <c r="F17" i="14"/>
  <c r="G17" i="14"/>
  <c r="E17" i="13"/>
  <c r="F17" i="13"/>
  <c r="G17" i="13"/>
  <c r="E18" i="12"/>
  <c r="F18" i="12"/>
  <c r="G18" i="12"/>
  <c r="D18" i="12"/>
  <c r="D18" i="11"/>
  <c r="E18" i="11"/>
  <c r="F18" i="11"/>
  <c r="G18" i="11"/>
  <c r="E17" i="10"/>
  <c r="F17" i="10"/>
  <c r="G17" i="10"/>
  <c r="D17" i="10"/>
  <c r="E18" i="9"/>
  <c r="F18" i="9"/>
  <c r="G18" i="9"/>
  <c r="D18" i="9"/>
  <c r="E17" i="7"/>
  <c r="F17" i="7"/>
  <c r="D17" i="7"/>
  <c r="E17" i="6"/>
  <c r="F17" i="6"/>
  <c r="G17" i="6"/>
  <c r="D17" i="6"/>
  <c r="F18" i="5"/>
  <c r="G18" i="5"/>
  <c r="D18" i="5"/>
  <c r="F32" i="15"/>
  <c r="F31" i="15"/>
  <c r="F30" i="15"/>
  <c r="F29" i="15"/>
  <c r="F28" i="15"/>
  <c r="G26" i="15"/>
  <c r="F26" i="15"/>
  <c r="F25" i="15"/>
  <c r="F24" i="15"/>
  <c r="F23" i="15"/>
  <c r="G22" i="15"/>
  <c r="F22" i="15"/>
  <c r="G21" i="15"/>
  <c r="F21" i="15"/>
  <c r="G20" i="15"/>
  <c r="F20" i="15"/>
  <c r="G19" i="15"/>
  <c r="F19" i="15"/>
  <c r="G17" i="15"/>
  <c r="F17" i="15"/>
  <c r="G16" i="15"/>
  <c r="F16" i="15"/>
  <c r="G15" i="15"/>
  <c r="F15" i="15"/>
  <c r="G12" i="15"/>
  <c r="F12" i="15"/>
  <c r="G11" i="15"/>
  <c r="F11" i="15"/>
  <c r="G10" i="15"/>
  <c r="F10" i="15"/>
  <c r="F9" i="15"/>
  <c r="F8" i="15"/>
  <c r="H32" i="10"/>
  <c r="G32" i="10"/>
  <c r="F7" i="15"/>
  <c r="G6" i="15"/>
  <c r="F6" i="15"/>
  <c r="G49" i="7"/>
  <c r="H48" i="7"/>
  <c r="G48" i="7"/>
  <c r="G43" i="7"/>
  <c r="H40" i="7"/>
  <c r="G40" i="7"/>
  <c r="H36" i="7"/>
  <c r="G36" i="7"/>
  <c r="H35" i="7"/>
  <c r="G35" i="7"/>
  <c r="G31" i="7"/>
  <c r="G30" i="7"/>
  <c r="H35" i="14"/>
  <c r="G35" i="14"/>
  <c r="H40" i="14"/>
  <c r="G40" i="14"/>
  <c r="H40" i="12"/>
  <c r="G40" i="12"/>
  <c r="H40" i="11"/>
  <c r="G40" i="11"/>
  <c r="H40" i="9"/>
  <c r="G40" i="9"/>
  <c r="H40" i="8"/>
  <c r="G40" i="8"/>
  <c r="G43" i="5"/>
  <c r="G46" i="5"/>
  <c r="G48" i="5"/>
  <c r="G51" i="14"/>
  <c r="G48" i="14"/>
  <c r="H43" i="14"/>
  <c r="G43" i="14"/>
  <c r="H34" i="14"/>
  <c r="G34" i="14"/>
  <c r="G49" i="13"/>
  <c r="G43" i="13"/>
  <c r="G36" i="13"/>
  <c r="H35" i="13"/>
  <c r="G35" i="13"/>
  <c r="G32" i="13"/>
  <c r="G30" i="13"/>
  <c r="G52" i="12"/>
  <c r="H36" i="12"/>
  <c r="G36" i="12"/>
  <c r="G33" i="12"/>
  <c r="G32" i="12"/>
  <c r="G31" i="12"/>
  <c r="G51" i="11"/>
  <c r="G49" i="11"/>
  <c r="H44" i="11"/>
  <c r="G44" i="11"/>
  <c r="H37" i="11"/>
  <c r="G37" i="11"/>
  <c r="H36" i="11"/>
  <c r="G36" i="11"/>
  <c r="G32" i="11"/>
  <c r="G49" i="10"/>
  <c r="G48" i="10"/>
  <c r="G36" i="10"/>
  <c r="H35" i="10"/>
  <c r="G35" i="10"/>
  <c r="G34" i="10"/>
  <c r="G31" i="10"/>
  <c r="G30" i="10"/>
  <c r="G52" i="9"/>
  <c r="H49" i="9"/>
  <c r="G49" i="9"/>
  <c r="G44" i="9"/>
  <c r="H36" i="9"/>
  <c r="G36" i="9"/>
  <c r="H35" i="9"/>
  <c r="G35" i="9"/>
  <c r="G33" i="9"/>
  <c r="H32" i="9"/>
  <c r="G32" i="9"/>
  <c r="G31" i="9"/>
  <c r="G50" i="8"/>
  <c r="G49" i="8"/>
  <c r="H44" i="8"/>
  <c r="G44" i="8"/>
  <c r="G37" i="8"/>
  <c r="H36" i="8"/>
  <c r="G36" i="8"/>
  <c r="G33" i="8"/>
  <c r="G32" i="8"/>
  <c r="G31" i="8"/>
  <c r="G55" i="6"/>
  <c r="G48" i="6"/>
  <c r="G47" i="6"/>
  <c r="H42" i="6"/>
  <c r="G42" i="6"/>
  <c r="G36" i="6"/>
  <c r="H35" i="6"/>
  <c r="G35" i="6"/>
  <c r="H34" i="6"/>
  <c r="G34" i="6"/>
  <c r="H31" i="6"/>
  <c r="G31" i="6"/>
  <c r="H43" i="5"/>
  <c r="H39" i="5"/>
  <c r="G39" i="5"/>
  <c r="H36" i="5"/>
  <c r="G36" i="5"/>
  <c r="H35" i="5"/>
  <c r="G35" i="5"/>
  <c r="G32" i="5"/>
  <c r="H31" i="5" l="1"/>
  <c r="G31" i="5"/>
  <c r="G30" i="5"/>
  <c r="G18" i="8" l="1"/>
  <c r="E18" i="8" l="1"/>
  <c r="F18" i="8"/>
  <c r="G14" i="13" l="1"/>
  <c r="G18" i="13" s="1"/>
  <c r="G14" i="11"/>
  <c r="F14" i="11"/>
  <c r="E14" i="11"/>
  <c r="E19" i="11" s="1"/>
  <c r="D14" i="11"/>
  <c r="D19" i="11" s="1"/>
  <c r="G14" i="9"/>
  <c r="G19" i="9" s="1"/>
  <c r="F14" i="9"/>
  <c r="F19" i="9" s="1"/>
  <c r="G19" i="11" l="1"/>
  <c r="F19" i="11"/>
  <c r="E14" i="13"/>
  <c r="E18" i="13" s="1"/>
  <c r="G13" i="14"/>
  <c r="G18" i="14" s="1"/>
  <c r="F13" i="14"/>
  <c r="F18" i="14" s="1"/>
  <c r="D13" i="14"/>
  <c r="D18" i="14" s="1"/>
  <c r="E13" i="14"/>
  <c r="E18" i="14" s="1"/>
  <c r="F14" i="13"/>
  <c r="F18" i="13" s="1"/>
  <c r="G23" i="10"/>
  <c r="H23" i="10"/>
  <c r="F23" i="10"/>
  <c r="I24" i="9"/>
  <c r="D14" i="9"/>
  <c r="D19" i="9" s="1"/>
  <c r="G24" i="9" s="1"/>
  <c r="J24" i="9"/>
  <c r="E14" i="9"/>
  <c r="E19" i="9" s="1"/>
  <c r="H24" i="9" s="1"/>
  <c r="G14" i="8"/>
  <c r="G19" i="8" s="1"/>
  <c r="F14" i="8"/>
  <c r="F19" i="8" s="1"/>
  <c r="E14" i="8"/>
  <c r="E19" i="8" s="1"/>
  <c r="D14" i="13"/>
  <c r="D18" i="13" s="1"/>
  <c r="G14" i="12" l="1"/>
  <c r="G19" i="12" s="1"/>
  <c r="D14" i="8"/>
  <c r="D19" i="8" s="1"/>
  <c r="I23" i="13" l="1"/>
  <c r="H23" i="13"/>
  <c r="G23" i="13"/>
  <c r="F14" i="12"/>
  <c r="F19" i="12" s="1"/>
  <c r="H24" i="12" s="1"/>
  <c r="D14" i="12"/>
  <c r="D19" i="12" s="1"/>
  <c r="F24" i="12" s="1"/>
  <c r="E14" i="12"/>
  <c r="E19" i="12" s="1"/>
  <c r="G24" i="12" s="1"/>
  <c r="H24" i="11"/>
  <c r="I24" i="11"/>
  <c r="F24" i="11"/>
  <c r="F24" i="8"/>
  <c r="G24" i="8"/>
  <c r="H24" i="8"/>
  <c r="I24" i="8"/>
  <c r="G23" i="7"/>
  <c r="E14" i="7"/>
  <c r="G14" i="7"/>
  <c r="I23" i="7" s="1"/>
  <c r="F23" i="7"/>
  <c r="D14" i="7"/>
  <c r="H23" i="7"/>
  <c r="F14" i="7"/>
  <c r="D13" i="6"/>
  <c r="D18" i="6" s="1"/>
  <c r="F23" i="6"/>
  <c r="F13" i="6"/>
  <c r="F18" i="6" s="1"/>
  <c r="H23" i="6" s="1"/>
  <c r="E13" i="6"/>
  <c r="E18" i="6" s="1"/>
  <c r="G23" i="6" s="1"/>
  <c r="G13" i="6"/>
  <c r="G18" i="6" s="1"/>
  <c r="I23" i="6"/>
  <c r="D14" i="5"/>
  <c r="F24" i="5"/>
  <c r="G24" i="5"/>
  <c r="E14" i="5"/>
  <c r="F14" i="5"/>
  <c r="H24" i="5"/>
  <c r="G14" i="5"/>
  <c r="I24" i="5"/>
  <c r="I23" i="10"/>
  <c r="F23" i="14"/>
  <c r="I24" i="12"/>
  <c r="F23" i="13"/>
  <c r="G23" i="14"/>
  <c r="H23" i="14"/>
  <c r="I23" i="14"/>
  <c r="G24" i="11"/>
</calcChain>
</file>

<file path=xl/comments1.xml><?xml version="1.0" encoding="utf-8"?>
<comments xmlns="http://schemas.openxmlformats.org/spreadsheetml/2006/main">
  <authors>
    <author>Анастасия Мухина</author>
  </authors>
  <commentList>
    <comment ref="A4" authorId="0" shapeId="0">
      <text>
        <r>
          <rPr>
            <b/>
            <sz val="9"/>
            <color indexed="81"/>
            <rFont val="Tahoma"/>
            <family val="2"/>
            <charset val="204"/>
          </rPr>
          <t>Анастасия Мухина: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18" authorId="0" shapeId="0">
      <text>
        <r>
          <rPr>
            <b/>
            <sz val="9"/>
            <color indexed="81"/>
            <rFont val="Tahoma"/>
            <family val="2"/>
            <charset val="204"/>
          </rPr>
          <t>Анастасия Мухина: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<sst xmlns="http://schemas.openxmlformats.org/spreadsheetml/2006/main" count="1118" uniqueCount="134">
  <si>
    <t>Энергетическая ценность (ккал)</t>
  </si>
  <si>
    <t>Б</t>
  </si>
  <si>
    <t>Ж</t>
  </si>
  <si>
    <t>У</t>
  </si>
  <si>
    <t>С</t>
  </si>
  <si>
    <t>А</t>
  </si>
  <si>
    <t>Е</t>
  </si>
  <si>
    <t>Са</t>
  </si>
  <si>
    <t>Р</t>
  </si>
  <si>
    <t>Мg</t>
  </si>
  <si>
    <t>Fe</t>
  </si>
  <si>
    <t>ИТОГО:</t>
  </si>
  <si>
    <t>Макароны отварные с маслом</t>
  </si>
  <si>
    <t>Пюре картофельное</t>
  </si>
  <si>
    <t>Хлеб ржано-пшеничный</t>
  </si>
  <si>
    <t>ИТОГО за день:</t>
  </si>
  <si>
    <t>Рис отварной</t>
  </si>
  <si>
    <t>Яблоки свежие</t>
  </si>
  <si>
    <t>Каша гречневая рассыпчатая</t>
  </si>
  <si>
    <r>
      <t>В</t>
    </r>
    <r>
      <rPr>
        <b/>
        <sz val="8"/>
        <color theme="1"/>
        <rFont val="Calibri"/>
        <family val="2"/>
        <charset val="204"/>
        <scheme val="minor"/>
      </rPr>
      <t>1</t>
    </r>
  </si>
  <si>
    <t>Приём пищи, наименование блюда</t>
  </si>
  <si>
    <t>Полдник</t>
  </si>
  <si>
    <t>Обед</t>
  </si>
  <si>
    <t>Масса порции</t>
  </si>
  <si>
    <t xml:space="preserve">МЕНЮ </t>
  </si>
  <si>
    <t>№ рец.</t>
  </si>
  <si>
    <t>Минеральные вещества (мг.)</t>
  </si>
  <si>
    <t>Витамины (мг.)</t>
  </si>
  <si>
    <t>Пищевые вещества (г.)</t>
  </si>
  <si>
    <t xml:space="preserve"> Обед</t>
  </si>
  <si>
    <t xml:space="preserve">День: </t>
  </si>
  <si>
    <t>понедельник</t>
  </si>
  <si>
    <t xml:space="preserve">Неделя: </t>
  </si>
  <si>
    <t>первая</t>
  </si>
  <si>
    <t xml:space="preserve">Сезон: </t>
  </si>
  <si>
    <t>осенне-зимний</t>
  </si>
  <si>
    <t xml:space="preserve">Возрастная категория: </t>
  </si>
  <si>
    <t>7-11 лет</t>
  </si>
  <si>
    <t>вторник</t>
  </si>
  <si>
    <t>среда</t>
  </si>
  <si>
    <t>четверг</t>
  </si>
  <si>
    <t>пятница</t>
  </si>
  <si>
    <t>В1</t>
  </si>
  <si>
    <t>ИТОГО</t>
  </si>
  <si>
    <t>Средние показания на день</t>
  </si>
  <si>
    <t>пищевые вещества</t>
  </si>
  <si>
    <t>энергет. ценн. ккал</t>
  </si>
  <si>
    <t>По меню</t>
  </si>
  <si>
    <t>Потребность по СаН ПиН (60-70%)</t>
  </si>
  <si>
    <t>46,2-53,9</t>
  </si>
  <si>
    <t>47,4-55,3</t>
  </si>
  <si>
    <t>201-234,5</t>
  </si>
  <si>
    <t>1410-1645</t>
  </si>
  <si>
    <t>По меню среднее за 10 дней</t>
  </si>
  <si>
    <t>вторая</t>
  </si>
  <si>
    <t>Наименование продуктов</t>
  </si>
  <si>
    <t>Количество продуктов в зависимости от возраста обучающихся</t>
  </si>
  <si>
    <t>в г, мл, брутто</t>
  </si>
  <si>
    <t>в г, мл, нетто</t>
  </si>
  <si>
    <t>Хлеб ржаной (ржано-пшеничный)</t>
  </si>
  <si>
    <t>Хлеб пшеничный</t>
  </si>
  <si>
    <t>Мука пшеничная</t>
  </si>
  <si>
    <t>Крупы, бобовые</t>
  </si>
  <si>
    <t>Макаронные изделия</t>
  </si>
  <si>
    <t>Картофель</t>
  </si>
  <si>
    <t>250 &lt;*&gt;</t>
  </si>
  <si>
    <t>Овощи свежие, зелень</t>
  </si>
  <si>
    <t>280 &lt;**&gt;</t>
  </si>
  <si>
    <t>Фрукты (плоды) свежие</t>
  </si>
  <si>
    <t>185 &lt;**&gt;</t>
  </si>
  <si>
    <t>Фрукты (плоды) сухие, в т.ч. шиповник</t>
  </si>
  <si>
    <t>Соки плодоовощные, напитки витаминизированные, в т.ч. инстантные</t>
  </si>
  <si>
    <t>Мясо жилованное (мясо на кости) 1 кат.</t>
  </si>
  <si>
    <t>77 (95)</t>
  </si>
  <si>
    <t>Цыплята 1 категории потрошеные (куры 1 кат. п/п)</t>
  </si>
  <si>
    <t>40 (51)</t>
  </si>
  <si>
    <t>Рыба-филе</t>
  </si>
  <si>
    <t>Колбасные изделия</t>
  </si>
  <si>
    <t>Молоко (массовая доля жира 2,5%, 3,2%)</t>
  </si>
  <si>
    <t>Кисломолочные продукты (массовая доля жира 2,5%, 3,2%)</t>
  </si>
  <si>
    <t>Творог (массовая доля жира не более 9%)</t>
  </si>
  <si>
    <t>Сыр</t>
  </si>
  <si>
    <t>Сметана (массовая доля жира не более 15%)</t>
  </si>
  <si>
    <t>Масло сливочное</t>
  </si>
  <si>
    <t>Масло растительное</t>
  </si>
  <si>
    <t>Яйцо диетическое</t>
  </si>
  <si>
    <t>1 шт.</t>
  </si>
  <si>
    <t>Сахар &lt;***&gt;</t>
  </si>
  <si>
    <t>Кондитерские изделия</t>
  </si>
  <si>
    <t>Чай</t>
  </si>
  <si>
    <t>Какао</t>
  </si>
  <si>
    <t>Дрожжи хлебопекарные</t>
  </si>
  <si>
    <t>Соль</t>
  </si>
  <si>
    <t>Рекомендуемые среднесуточные наборы пищевых продуктов, в том числе используемые для приготовления блюд и напитков, для обучающихся общеобразовательных учреждений</t>
  </si>
  <si>
    <t>Средняя за 10 дней</t>
  </si>
  <si>
    <r>
      <t>В</t>
    </r>
    <r>
      <rPr>
        <sz val="8"/>
        <color theme="1"/>
        <rFont val="Calibri"/>
        <family val="2"/>
        <charset val="204"/>
        <scheme val="minor"/>
      </rPr>
      <t>1</t>
    </r>
  </si>
  <si>
    <t>Йогурт</t>
  </si>
  <si>
    <t>Капуста тушеная</t>
  </si>
  <si>
    <t>УТВЕРЖДАЮ                                                                 Директор                                                МБОУ Славнинской СОШ ________________А.Н. Филина</t>
  </si>
  <si>
    <t>МБОУ СЛАВНИНСКОЙ СОШ</t>
  </si>
  <si>
    <t xml:space="preserve">Печенье </t>
  </si>
  <si>
    <t>Вафли</t>
  </si>
  <si>
    <t>мандарины</t>
  </si>
  <si>
    <t>2 шт</t>
  </si>
  <si>
    <t>600-750</t>
  </si>
  <si>
    <t>Борщ с капустой и картофелем на курином бульоне</t>
  </si>
  <si>
    <t>Суп картофельный с фасолью на курином бульоне</t>
  </si>
  <si>
    <t>Щи из свежей капусты с картофелем на курином бульоне</t>
  </si>
  <si>
    <t>Суп картофельный с горохом на курином бульоне</t>
  </si>
  <si>
    <t xml:space="preserve">Котлета, рубленная из птицы </t>
  </si>
  <si>
    <t>(2-х разового питания на 10 дней)</t>
  </si>
  <si>
    <t>дляобучающихся 1-4х классовпо категории от 7-11 лет общеобразовательных организаций</t>
  </si>
  <si>
    <t>Тверской области в соответствии требованиям СанПиН 2.4.5.2409-08</t>
  </si>
  <si>
    <t>«Санитарно-эпидемиологические требования к организации питания обучающихся</t>
  </si>
  <si>
    <t>в общеобразовательных учреждениях,учереждениях начального и среднего профессионального</t>
  </si>
  <si>
    <t>образования,СанПиН 2.3/2.4.3590-20 Санитарно-эпидемиологические требования</t>
  </si>
  <si>
    <t xml:space="preserve">к организации общественного питания населения» и </t>
  </si>
  <si>
    <t>МР 2.4.0179-20«Организация питания детей дошкольного и школьного возраста в организованных коллективах».</t>
  </si>
  <si>
    <t>Сосиска отварная</t>
  </si>
  <si>
    <t>Жаркое по домашнему</t>
  </si>
  <si>
    <t>Гуляш из курицы</t>
  </si>
  <si>
    <t>Котлеты рыбные</t>
  </si>
  <si>
    <t>В2</t>
  </si>
  <si>
    <t>Чай с сахаром</t>
  </si>
  <si>
    <t>Рассольник ленинградский  на курином бульоне</t>
  </si>
  <si>
    <t>180/5</t>
  </si>
  <si>
    <t>Тефтели из свинины</t>
  </si>
  <si>
    <t>70/30</t>
  </si>
  <si>
    <t>Сборник технологических карт, рецептур блюд кулинарных изделий для школьного питания</t>
  </si>
  <si>
    <t>Компот из смеси сухофруктов</t>
  </si>
  <si>
    <t xml:space="preserve"> -     </t>
  </si>
  <si>
    <t>Котлета студеньческая</t>
  </si>
  <si>
    <t>Уха с крупой</t>
  </si>
  <si>
    <t>Плов из курицы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</si>
</sst>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25"/>
      <color theme="1"/>
      <name val="Times New Roman"/>
      <family val="1"/>
      <charset val="204"/>
    </font>
    <font>
      <sz val="25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0"/>
      <color rgb="FF333333"/>
      <name val="Times New Roman"/>
      <family val="1"/>
      <charset val="204"/>
    </font>
    <font>
      <b/>
      <sz val="11"/>
      <name val="Arial Cyr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color rgb="FF454545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name val="Arial Cyr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8"/>
      <color theme="1"/>
      <name val="Times New Roman"/>
      <family val="1"/>
      <charset val="204"/>
    </font>
    <font>
      <b/>
      <i/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5">
    <xf numFmtId="0" fontId="0" fillId="0" borderId="0" xfId="0"/>
    <xf numFmtId="0" fontId="0" fillId="0" borderId="0" xfId="0" applyFont="1"/>
    <xf numFmtId="0" fontId="10" fillId="0" borderId="0" xfId="0" applyFont="1" applyAlignment="1">
      <alignment horizontal="justify"/>
    </xf>
    <xf numFmtId="0" fontId="12" fillId="0" borderId="0" xfId="0" applyFont="1"/>
    <xf numFmtId="0" fontId="14" fillId="0" borderId="0" xfId="0" applyFont="1"/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vertical="top" wrapText="1"/>
      <protection hidden="1"/>
    </xf>
    <xf numFmtId="0" fontId="2" fillId="0" borderId="0" xfId="0" applyFont="1" applyProtection="1">
      <protection hidden="1"/>
    </xf>
    <xf numFmtId="0" fontId="0" fillId="0" borderId="0" xfId="0" applyAlignment="1">
      <alignment wrapText="1"/>
    </xf>
    <xf numFmtId="0" fontId="16" fillId="0" borderId="0" xfId="0" applyFont="1" applyAlignment="1">
      <alignment horizontal="justify" vertical="center"/>
    </xf>
    <xf numFmtId="0" fontId="0" fillId="0" borderId="0" xfId="0" applyFill="1"/>
    <xf numFmtId="0" fontId="6" fillId="0" borderId="1" xfId="0" applyFont="1" applyFill="1" applyBorder="1" applyAlignment="1" applyProtection="1">
      <alignment horizontal="center" vertical="top" wrapText="1"/>
      <protection hidden="1"/>
    </xf>
    <xf numFmtId="43" fontId="7" fillId="0" borderId="1" xfId="1" applyFont="1" applyFill="1" applyBorder="1" applyAlignment="1" applyProtection="1">
      <alignment vertical="center" wrapText="1"/>
      <protection hidden="1"/>
    </xf>
    <xf numFmtId="43" fontId="7" fillId="0" borderId="0" xfId="1" applyFont="1" applyBorder="1" applyAlignment="1" applyProtection="1">
      <alignment vertical="top" wrapText="1"/>
      <protection hidden="1"/>
    </xf>
    <xf numFmtId="0" fontId="0" fillId="0" borderId="0" xfId="0" applyBorder="1"/>
    <xf numFmtId="0" fontId="2" fillId="0" borderId="0" xfId="0" applyFont="1" applyBorder="1" applyProtection="1">
      <protection hidden="1"/>
    </xf>
    <xf numFmtId="43" fontId="7" fillId="0" borderId="0" xfId="1" applyFont="1" applyBorder="1" applyAlignment="1" applyProtection="1">
      <alignment wrapText="1"/>
      <protection hidden="1"/>
    </xf>
    <xf numFmtId="43" fontId="5" fillId="3" borderId="0" xfId="0" applyNumberFormat="1" applyFont="1" applyFill="1" applyBorder="1" applyAlignment="1" applyProtection="1">
      <alignment horizontal="justify" vertical="center" wrapText="1"/>
      <protection hidden="1"/>
    </xf>
    <xf numFmtId="0" fontId="5" fillId="3" borderId="0" xfId="0" applyFont="1" applyFill="1" applyBorder="1" applyAlignment="1" applyProtection="1">
      <alignment horizontal="justify" vertical="top" wrapText="1"/>
      <protection hidden="1"/>
    </xf>
    <xf numFmtId="0" fontId="17" fillId="0" borderId="0" xfId="0" applyFont="1" applyAlignment="1">
      <alignment horizontal="justify"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/>
    <xf numFmtId="0" fontId="2" fillId="0" borderId="0" xfId="0" applyFont="1" applyFill="1" applyProtection="1">
      <protection hidden="1"/>
    </xf>
    <xf numFmtId="43" fontId="7" fillId="0" borderId="0" xfId="1" applyFont="1" applyFill="1" applyBorder="1" applyAlignment="1" applyProtection="1">
      <alignment horizontal="center" vertical="top" wrapText="1"/>
      <protection hidden="1"/>
    </xf>
    <xf numFmtId="43" fontId="2" fillId="0" borderId="1" xfId="0" applyNumberFormat="1" applyFont="1" applyBorder="1" applyAlignment="1" applyProtection="1">
      <alignment vertical="top" wrapText="1"/>
      <protection hidden="1"/>
    </xf>
    <xf numFmtId="0" fontId="5" fillId="3" borderId="2" xfId="0" applyFont="1" applyFill="1" applyBorder="1" applyAlignment="1" applyProtection="1">
      <alignment vertical="top" wrapText="1"/>
      <protection hidden="1"/>
    </xf>
    <xf numFmtId="0" fontId="5" fillId="3" borderId="3" xfId="0" applyFont="1" applyFill="1" applyBorder="1" applyAlignment="1" applyProtection="1">
      <alignment vertical="top" wrapText="1"/>
      <protection hidden="1"/>
    </xf>
    <xf numFmtId="43" fontId="5" fillId="3" borderId="3" xfId="0" applyNumberFormat="1" applyFont="1" applyFill="1" applyBorder="1" applyAlignment="1" applyProtection="1">
      <alignment vertical="top" wrapText="1"/>
      <protection hidden="1"/>
    </xf>
    <xf numFmtId="0" fontId="6" fillId="0" borderId="1" xfId="0" applyFont="1" applyFill="1" applyBorder="1" applyAlignment="1" applyProtection="1">
      <alignment horizontal="left" vertical="top" wrapText="1"/>
      <protection hidden="1"/>
    </xf>
    <xf numFmtId="0" fontId="6" fillId="0" borderId="0" xfId="0" applyFont="1" applyBorder="1" applyAlignment="1" applyProtection="1">
      <alignment horizontal="center" vertical="top" wrapText="1"/>
      <protection hidden="1"/>
    </xf>
    <xf numFmtId="43" fontId="7" fillId="0" borderId="0" xfId="1" applyFont="1" applyBorder="1" applyAlignment="1" applyProtection="1">
      <alignment vertical="center" wrapText="1"/>
      <protection hidden="1"/>
    </xf>
    <xf numFmtId="2" fontId="19" fillId="0" borderId="12" xfId="0" applyNumberFormat="1" applyFont="1" applyBorder="1" applyAlignment="1">
      <alignment horizontal="center" vertical="center" wrapText="1"/>
    </xf>
    <xf numFmtId="2" fontId="19" fillId="0" borderId="12" xfId="0" applyNumberFormat="1" applyFont="1" applyBorder="1" applyAlignment="1">
      <alignment horizontal="center" vertical="center"/>
    </xf>
    <xf numFmtId="2" fontId="19" fillId="0" borderId="15" xfId="0" applyNumberFormat="1" applyFont="1" applyBorder="1" applyAlignment="1">
      <alignment horizontal="center" vertical="center"/>
    </xf>
    <xf numFmtId="2" fontId="20" fillId="0" borderId="12" xfId="0" applyNumberFormat="1" applyFont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top" wrapText="1"/>
      <protection hidden="1"/>
    </xf>
    <xf numFmtId="0" fontId="6" fillId="0" borderId="0" xfId="0" applyFont="1" applyFill="1" applyBorder="1" applyAlignment="1" applyProtection="1">
      <alignment vertical="top" wrapText="1"/>
      <protection hidden="1"/>
    </xf>
    <xf numFmtId="43" fontId="7" fillId="0" borderId="0" xfId="1" applyFont="1" applyFill="1" applyBorder="1" applyAlignment="1" applyProtection="1">
      <alignment vertical="center" wrapText="1"/>
      <protection hidden="1"/>
    </xf>
    <xf numFmtId="0" fontId="6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21" fillId="0" borderId="0" xfId="0" applyFont="1" applyAlignment="1">
      <alignment horizontal="right" vertical="center" wrapText="1"/>
    </xf>
    <xf numFmtId="0" fontId="21" fillId="0" borderId="0" xfId="0" applyFont="1" applyAlignment="1">
      <alignment vertical="center" wrapText="1"/>
    </xf>
    <xf numFmtId="0" fontId="22" fillId="4" borderId="0" xfId="0" applyFont="1" applyFill="1" applyBorder="1" applyAlignment="1">
      <alignment vertical="center" wrapText="1"/>
    </xf>
    <xf numFmtId="43" fontId="0" fillId="0" borderId="0" xfId="0" applyNumberFormat="1"/>
    <xf numFmtId="0" fontId="8" fillId="0" borderId="2" xfId="0" applyFont="1" applyBorder="1" applyAlignment="1" applyProtection="1">
      <alignment vertical="top" wrapText="1"/>
      <protection hidden="1"/>
    </xf>
    <xf numFmtId="0" fontId="9" fillId="0" borderId="3" xfId="0" applyFont="1" applyBorder="1" applyAlignment="1" applyProtection="1">
      <alignment vertical="top" wrapText="1"/>
      <protection hidden="1"/>
    </xf>
    <xf numFmtId="0" fontId="9" fillId="0" borderId="4" xfId="0" applyFont="1" applyBorder="1" applyAlignment="1" applyProtection="1">
      <alignment vertical="top" wrapText="1"/>
      <protection hidden="1"/>
    </xf>
    <xf numFmtId="0" fontId="8" fillId="0" borderId="2" xfId="0" applyFont="1" applyFill="1" applyBorder="1" applyAlignment="1" applyProtection="1">
      <alignment vertical="top" wrapText="1"/>
      <protection hidden="1"/>
    </xf>
    <xf numFmtId="0" fontId="0" fillId="0" borderId="0" xfId="0" applyFill="1" applyBorder="1"/>
    <xf numFmtId="0" fontId="2" fillId="0" borderId="0" xfId="0" applyFont="1" applyFill="1" applyBorder="1" applyProtection="1">
      <protection hidden="1"/>
    </xf>
    <xf numFmtId="0" fontId="8" fillId="0" borderId="3" xfId="0" applyFont="1" applyFill="1" applyBorder="1" applyAlignment="1" applyProtection="1">
      <alignment vertical="top" wrapText="1"/>
      <protection hidden="1"/>
    </xf>
    <xf numFmtId="0" fontId="8" fillId="0" borderId="4" xfId="0" applyFont="1" applyFill="1" applyBorder="1" applyAlignment="1" applyProtection="1">
      <alignment vertical="top" wrapText="1"/>
      <protection hidden="1"/>
    </xf>
    <xf numFmtId="43" fontId="5" fillId="0" borderId="0" xfId="0" applyNumberFormat="1" applyFont="1" applyFill="1" applyBorder="1" applyAlignment="1" applyProtection="1">
      <alignment horizontal="justify" vertical="center" wrapText="1"/>
      <protection hidden="1"/>
    </xf>
    <xf numFmtId="0" fontId="2" fillId="0" borderId="0" xfId="0" applyFont="1" applyFill="1" applyAlignment="1" applyProtection="1">
      <alignment wrapText="1"/>
      <protection hidden="1"/>
    </xf>
    <xf numFmtId="0" fontId="23" fillId="0" borderId="0" xfId="0" applyFont="1" applyAlignment="1">
      <alignment horizontal="justify" vertical="center"/>
    </xf>
    <xf numFmtId="0" fontId="24" fillId="0" borderId="0" xfId="0" applyFont="1" applyAlignment="1">
      <alignment wrapText="1"/>
    </xf>
    <xf numFmtId="0" fontId="24" fillId="0" borderId="0" xfId="0" applyFont="1"/>
    <xf numFmtId="0" fontId="25" fillId="2" borderId="1" xfId="0" applyFont="1" applyFill="1" applyBorder="1" applyAlignment="1" applyProtection="1">
      <alignment horizontal="center" vertical="center" wrapText="1"/>
      <protection hidden="1"/>
    </xf>
    <xf numFmtId="0" fontId="28" fillId="0" borderId="1" xfId="0" applyFont="1" applyFill="1" applyBorder="1" applyAlignment="1" applyProtection="1">
      <alignment horizontal="center" vertical="top" wrapText="1"/>
      <protection hidden="1"/>
    </xf>
    <xf numFmtId="43" fontId="29" fillId="0" borderId="1" xfId="1" applyFont="1" applyFill="1" applyBorder="1" applyAlignment="1" applyProtection="1">
      <alignment vertical="center" wrapText="1"/>
      <protection hidden="1"/>
    </xf>
    <xf numFmtId="0" fontId="24" fillId="0" borderId="0" xfId="0" applyFont="1" applyFill="1"/>
    <xf numFmtId="0" fontId="28" fillId="5" borderId="1" xfId="0" applyFont="1" applyFill="1" applyBorder="1" applyAlignment="1" applyProtection="1">
      <alignment horizontal="center" vertical="top" wrapText="1"/>
      <protection hidden="1"/>
    </xf>
    <xf numFmtId="0" fontId="30" fillId="0" borderId="1" xfId="0" applyFont="1" applyBorder="1" applyAlignment="1" applyProtection="1">
      <alignment vertical="top" wrapText="1"/>
      <protection hidden="1"/>
    </xf>
    <xf numFmtId="0" fontId="31" fillId="3" borderId="1" xfId="0" applyFont="1" applyFill="1" applyBorder="1" applyAlignment="1" applyProtection="1">
      <alignment vertical="top" wrapText="1"/>
      <protection hidden="1"/>
    </xf>
    <xf numFmtId="43" fontId="31" fillId="3" borderId="3" xfId="0" applyNumberFormat="1" applyFont="1" applyFill="1" applyBorder="1" applyAlignment="1" applyProtection="1">
      <alignment vertical="top" wrapText="1"/>
      <protection hidden="1"/>
    </xf>
    <xf numFmtId="43" fontId="31" fillId="3" borderId="1" xfId="0" applyNumberFormat="1" applyFont="1" applyFill="1" applyBorder="1" applyAlignment="1" applyProtection="1">
      <alignment horizontal="justify" vertical="center" wrapText="1"/>
      <protection hidden="1"/>
    </xf>
    <xf numFmtId="2" fontId="33" fillId="0" borderId="12" xfId="0" applyNumberFormat="1" applyFont="1" applyBorder="1" applyAlignment="1">
      <alignment horizontal="center" vertical="center" wrapText="1"/>
    </xf>
    <xf numFmtId="2" fontId="33" fillId="0" borderId="12" xfId="0" applyNumberFormat="1" applyFont="1" applyBorder="1" applyAlignment="1">
      <alignment horizontal="center" vertical="center"/>
    </xf>
    <xf numFmtId="2" fontId="33" fillId="0" borderId="15" xfId="0" applyNumberFormat="1" applyFont="1" applyBorder="1" applyAlignment="1">
      <alignment horizontal="center" vertical="center"/>
    </xf>
    <xf numFmtId="2" fontId="34" fillId="0" borderId="12" xfId="0" applyNumberFormat="1" applyFont="1" applyBorder="1" applyAlignment="1">
      <alignment horizontal="center" vertical="center"/>
    </xf>
    <xf numFmtId="0" fontId="36" fillId="0" borderId="0" xfId="0" applyFont="1"/>
    <xf numFmtId="0" fontId="37" fillId="4" borderId="1" xfId="0" applyFont="1" applyFill="1" applyBorder="1" applyAlignment="1">
      <alignment vertical="center" wrapText="1"/>
    </xf>
    <xf numFmtId="0" fontId="37" fillId="4" borderId="1" xfId="0" applyFont="1" applyFill="1" applyBorder="1" applyAlignment="1">
      <alignment horizontal="left" vertical="top" wrapText="1"/>
    </xf>
    <xf numFmtId="2" fontId="38" fillId="0" borderId="1" xfId="0" applyNumberFormat="1" applyFont="1" applyBorder="1"/>
    <xf numFmtId="0" fontId="37" fillId="5" borderId="1" xfId="0" applyFont="1" applyFill="1" applyBorder="1" applyAlignment="1">
      <alignment horizontal="left" vertical="top" wrapText="1"/>
    </xf>
    <xf numFmtId="2" fontId="38" fillId="5" borderId="1" xfId="0" applyNumberFormat="1" applyFont="1" applyFill="1" applyBorder="1"/>
    <xf numFmtId="0" fontId="36" fillId="5" borderId="0" xfId="0" applyFont="1" applyFill="1"/>
    <xf numFmtId="0" fontId="36" fillId="7" borderId="0" xfId="0" applyFont="1" applyFill="1"/>
    <xf numFmtId="2" fontId="38" fillId="0" borderId="1" xfId="0" applyNumberFormat="1" applyFont="1" applyBorder="1" applyAlignment="1">
      <alignment horizontal="center"/>
    </xf>
    <xf numFmtId="0" fontId="24" fillId="0" borderId="0" xfId="0" applyFont="1" applyBorder="1"/>
    <xf numFmtId="0" fontId="2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4" fillId="0" borderId="0" xfId="0" applyNumberFormat="1" applyFont="1"/>
    <xf numFmtId="0" fontId="28" fillId="0" borderId="1" xfId="0" applyNumberFormat="1" applyFont="1" applyFill="1" applyBorder="1" applyAlignment="1" applyProtection="1">
      <alignment horizontal="center" vertical="top" wrapText="1"/>
      <protection hidden="1"/>
    </xf>
    <xf numFmtId="0" fontId="30" fillId="0" borderId="1" xfId="0" applyNumberFormat="1" applyFont="1" applyBorder="1" applyAlignment="1" applyProtection="1">
      <alignment vertical="top" wrapText="1"/>
      <protection hidden="1"/>
    </xf>
    <xf numFmtId="0" fontId="24" fillId="0" borderId="0" xfId="0" applyNumberFormat="1" applyFont="1" applyBorder="1"/>
    <xf numFmtId="0" fontId="0" fillId="0" borderId="0" xfId="0" applyBorder="1" applyAlignment="1">
      <alignment wrapText="1"/>
    </xf>
    <xf numFmtId="0" fontId="5" fillId="0" borderId="0" xfId="0" applyFont="1" applyFill="1" applyBorder="1" applyAlignment="1" applyProtection="1">
      <alignment horizontal="justify" vertical="top" wrapText="1"/>
      <protection hidden="1"/>
    </xf>
    <xf numFmtId="2" fontId="2" fillId="0" borderId="1" xfId="0" applyNumberFormat="1" applyFont="1" applyBorder="1"/>
    <xf numFmtId="0" fontId="7" fillId="0" borderId="1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8" borderId="1" xfId="0" applyFont="1" applyFill="1" applyBorder="1" applyAlignment="1" applyProtection="1">
      <alignment vertical="top" wrapText="1"/>
      <protection hidden="1"/>
    </xf>
    <xf numFmtId="0" fontId="2" fillId="8" borderId="1" xfId="0" applyFont="1" applyFill="1" applyBorder="1" applyAlignment="1" applyProtection="1">
      <alignment vertical="top" wrapText="1"/>
      <protection hidden="1"/>
    </xf>
    <xf numFmtId="43" fontId="2" fillId="8" borderId="1" xfId="0" applyNumberFormat="1" applyFont="1" applyFill="1" applyBorder="1" applyAlignment="1" applyProtection="1">
      <alignment vertical="top" wrapText="1"/>
      <protection hidden="1"/>
    </xf>
    <xf numFmtId="43" fontId="5" fillId="8" borderId="1" xfId="0" applyNumberFormat="1" applyFont="1" applyFill="1" applyBorder="1" applyAlignment="1" applyProtection="1">
      <alignment vertical="top" wrapText="1"/>
      <protection hidden="1"/>
    </xf>
    <xf numFmtId="0" fontId="31" fillId="8" borderId="2" xfId="0" applyFont="1" applyFill="1" applyBorder="1" applyAlignment="1" applyProtection="1">
      <alignment vertical="top" wrapText="1"/>
      <protection hidden="1"/>
    </xf>
    <xf numFmtId="0" fontId="24" fillId="8" borderId="3" xfId="0" applyFont="1" applyFill="1" applyBorder="1" applyAlignment="1" applyProtection="1">
      <protection hidden="1"/>
    </xf>
    <xf numFmtId="0" fontId="24" fillId="8" borderId="3" xfId="0" applyNumberFormat="1" applyFont="1" applyFill="1" applyBorder="1" applyAlignment="1" applyProtection="1">
      <protection hidden="1"/>
    </xf>
    <xf numFmtId="43" fontId="29" fillId="8" borderId="3" xfId="0" applyNumberFormat="1" applyFont="1" applyFill="1" applyBorder="1" applyAlignment="1" applyProtection="1">
      <protection hidden="1"/>
    </xf>
    <xf numFmtId="43" fontId="24" fillId="8" borderId="3" xfId="0" applyNumberFormat="1" applyFont="1" applyFill="1" applyBorder="1" applyAlignment="1" applyProtection="1">
      <protection hidden="1"/>
    </xf>
    <xf numFmtId="0" fontId="31" fillId="8" borderId="1" xfId="0" applyFont="1" applyFill="1" applyBorder="1" applyAlignment="1" applyProtection="1">
      <alignment vertical="top" wrapText="1"/>
      <protection hidden="1"/>
    </xf>
    <xf numFmtId="0" fontId="30" fillId="8" borderId="1" xfId="0" applyFont="1" applyFill="1" applyBorder="1" applyAlignment="1" applyProtection="1">
      <alignment vertical="top" wrapText="1"/>
      <protection hidden="1"/>
    </xf>
    <xf numFmtId="0" fontId="30" fillId="8" borderId="1" xfId="0" applyNumberFormat="1" applyFont="1" applyFill="1" applyBorder="1" applyAlignment="1" applyProtection="1">
      <alignment vertical="top" wrapText="1"/>
      <protection hidden="1"/>
    </xf>
    <xf numFmtId="43" fontId="29" fillId="8" borderId="1" xfId="0" applyNumberFormat="1" applyFont="1" applyFill="1" applyBorder="1" applyAlignment="1" applyProtection="1">
      <alignment vertical="top" wrapText="1"/>
      <protection hidden="1"/>
    </xf>
    <xf numFmtId="43" fontId="30" fillId="8" borderId="1" xfId="0" applyNumberFormat="1" applyFont="1" applyFill="1" applyBorder="1" applyAlignment="1" applyProtection="1">
      <alignment vertical="top" wrapText="1"/>
      <protection hidden="1"/>
    </xf>
    <xf numFmtId="43" fontId="5" fillId="8" borderId="1" xfId="0" applyNumberFormat="1" applyFont="1" applyFill="1" applyBorder="1" applyAlignment="1" applyProtection="1">
      <alignment horizontal="justify" vertical="center" wrapText="1"/>
      <protection hidden="1"/>
    </xf>
    <xf numFmtId="0" fontId="2" fillId="8" borderId="1" xfId="0" applyFont="1" applyFill="1" applyBorder="1" applyAlignment="1" applyProtection="1">
      <alignment horizontal="justify" vertical="center" wrapText="1"/>
      <protection hidden="1"/>
    </xf>
    <xf numFmtId="0" fontId="5" fillId="8" borderId="1" xfId="0" applyFont="1" applyFill="1" applyBorder="1" applyAlignment="1" applyProtection="1">
      <alignment horizontal="justify" vertical="center" wrapText="1"/>
      <protection hidden="1"/>
    </xf>
    <xf numFmtId="43" fontId="5" fillId="8" borderId="3" xfId="0" applyNumberFormat="1" applyFont="1" applyFill="1" applyBorder="1" applyAlignment="1" applyProtection="1">
      <alignment vertical="top" wrapText="1"/>
      <protection hidden="1"/>
    </xf>
    <xf numFmtId="43" fontId="0" fillId="8" borderId="0" xfId="0" applyNumberFormat="1" applyFill="1"/>
    <xf numFmtId="0" fontId="5" fillId="8" borderId="1" xfId="0" applyFont="1" applyFill="1" applyBorder="1" applyAlignment="1" applyProtection="1">
      <alignment vertical="top"/>
      <protection hidden="1"/>
    </xf>
    <xf numFmtId="0" fontId="0" fillId="8" borderId="1" xfId="0" applyFill="1" applyBorder="1" applyAlignment="1" applyProtection="1">
      <alignment vertical="top"/>
      <protection hidden="1"/>
    </xf>
    <xf numFmtId="0" fontId="5" fillId="8" borderId="2" xfId="0" applyFont="1" applyFill="1" applyBorder="1" applyAlignment="1" applyProtection="1">
      <alignment vertical="top" wrapText="1"/>
      <protection hidden="1"/>
    </xf>
    <xf numFmtId="0" fontId="5" fillId="8" borderId="3" xfId="0" applyFont="1" applyFill="1" applyBorder="1" applyAlignment="1" applyProtection="1">
      <alignment vertical="top" wrapText="1"/>
      <protection hidden="1"/>
    </xf>
    <xf numFmtId="0" fontId="5" fillId="8" borderId="4" xfId="0" applyFont="1" applyFill="1" applyBorder="1" applyAlignment="1" applyProtection="1">
      <alignment vertical="top" wrapText="1"/>
      <protection hidden="1"/>
    </xf>
    <xf numFmtId="0" fontId="2" fillId="8" borderId="1" xfId="0" applyFont="1" applyFill="1" applyBorder="1" applyAlignment="1" applyProtection="1">
      <alignment vertical="center" wrapText="1"/>
      <protection hidden="1"/>
    </xf>
    <xf numFmtId="0" fontId="0" fillId="0" borderId="0" xfId="0" applyAlignment="1">
      <alignment vertical="top" wrapText="1"/>
    </xf>
    <xf numFmtId="0" fontId="2" fillId="0" borderId="1" xfId="0" applyFont="1" applyFill="1" applyBorder="1" applyAlignment="1">
      <alignment horizontal="center"/>
    </xf>
    <xf numFmtId="43" fontId="2" fillId="0" borderId="1" xfId="1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Fill="1" applyAlignment="1">
      <alignment horizontal="justify" vertical="center"/>
    </xf>
    <xf numFmtId="0" fontId="0" fillId="0" borderId="0" xfId="0" applyFill="1" applyAlignment="1">
      <alignment wrapText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2" fontId="19" fillId="0" borderId="12" xfId="0" applyNumberFormat="1" applyFont="1" applyFill="1" applyBorder="1" applyAlignment="1">
      <alignment horizontal="center" vertical="center" wrapText="1"/>
    </xf>
    <xf numFmtId="2" fontId="19" fillId="0" borderId="12" xfId="0" applyNumberFormat="1" applyFont="1" applyFill="1" applyBorder="1" applyAlignment="1">
      <alignment horizontal="center" vertical="center"/>
    </xf>
    <xf numFmtId="2" fontId="19" fillId="0" borderId="15" xfId="0" applyNumberFormat="1" applyFont="1" applyFill="1" applyBorder="1" applyAlignment="1">
      <alignment horizontal="center" vertical="center"/>
    </xf>
    <xf numFmtId="2" fontId="20" fillId="0" borderId="12" xfId="0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horizontal="left" vertical="top" wrapText="1"/>
    </xf>
    <xf numFmtId="2" fontId="38" fillId="0" borderId="1" xfId="0" applyNumberFormat="1" applyFont="1" applyFill="1" applyBorder="1"/>
    <xf numFmtId="2" fontId="2" fillId="0" borderId="1" xfId="0" applyNumberFormat="1" applyFont="1" applyFill="1" applyBorder="1"/>
    <xf numFmtId="2" fontId="38" fillId="0" borderId="1" xfId="0" applyNumberFormat="1" applyFont="1" applyFill="1" applyBorder="1" applyAlignment="1">
      <alignment horizontal="center"/>
    </xf>
    <xf numFmtId="0" fontId="0" fillId="8" borderId="0" xfId="0" applyFill="1"/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0" fillId="7" borderId="0" xfId="0" applyFill="1"/>
    <xf numFmtId="0" fontId="6" fillId="5" borderId="1" xfId="0" applyFont="1" applyFill="1" applyBorder="1" applyAlignment="1" applyProtection="1">
      <alignment vertical="top" wrapText="1"/>
      <protection hidden="1"/>
    </xf>
    <xf numFmtId="0" fontId="30" fillId="5" borderId="0" xfId="0" applyFont="1" applyFill="1" applyProtection="1">
      <protection hidden="1"/>
    </xf>
    <xf numFmtId="0" fontId="6" fillId="5" borderId="1" xfId="0" applyNumberFormat="1" applyFont="1" applyFill="1" applyBorder="1" applyAlignment="1" applyProtection="1">
      <alignment horizontal="center" vertical="top" wrapText="1"/>
      <protection hidden="1"/>
    </xf>
    <xf numFmtId="43" fontId="2" fillId="5" borderId="1" xfId="1" applyFont="1" applyFill="1" applyBorder="1" applyAlignment="1" applyProtection="1">
      <alignment horizontal="center" vertical="center" wrapText="1"/>
      <protection hidden="1"/>
    </xf>
    <xf numFmtId="0" fontId="2" fillId="5" borderId="1" xfId="0" applyFont="1" applyFill="1" applyBorder="1" applyAlignment="1">
      <alignment horizontal="center"/>
    </xf>
    <xf numFmtId="0" fontId="6" fillId="5" borderId="1" xfId="0" applyFont="1" applyFill="1" applyBorder="1" applyAlignment="1" applyProtection="1">
      <alignment horizontal="center" vertical="top" wrapText="1"/>
      <protection hidden="1"/>
    </xf>
    <xf numFmtId="43" fontId="7" fillId="5" borderId="1" xfId="1" applyFont="1" applyFill="1" applyBorder="1" applyAlignment="1" applyProtection="1">
      <alignment vertical="center" wrapText="1"/>
      <protection hidden="1"/>
    </xf>
    <xf numFmtId="0" fontId="0" fillId="5" borderId="0" xfId="0" applyFill="1"/>
    <xf numFmtId="0" fontId="13" fillId="0" borderId="0" xfId="0" applyFont="1" applyAlignment="1">
      <alignment horizontal="center"/>
    </xf>
    <xf numFmtId="2" fontId="5" fillId="8" borderId="1" xfId="0" applyNumberFormat="1" applyFont="1" applyFill="1" applyBorder="1" applyAlignment="1" applyProtection="1">
      <alignment vertical="top" wrapText="1"/>
      <protection hidden="1"/>
    </xf>
    <xf numFmtId="0" fontId="42" fillId="0" borderId="0" xfId="0" applyFont="1"/>
    <xf numFmtId="43" fontId="7" fillId="0" borderId="1" xfId="1" applyFont="1" applyBorder="1" applyAlignment="1" applyProtection="1">
      <alignment vertical="center" wrapText="1"/>
      <protection hidden="1"/>
    </xf>
    <xf numFmtId="0" fontId="1" fillId="0" borderId="0" xfId="0" applyFont="1"/>
    <xf numFmtId="0" fontId="5" fillId="0" borderId="1" xfId="0" applyFont="1" applyFill="1" applyBorder="1" applyAlignment="1" applyProtection="1">
      <alignment horizontal="center" vertical="top" wrapText="1"/>
      <protection hidden="1"/>
    </xf>
    <xf numFmtId="0" fontId="6" fillId="0" borderId="19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/>
    <xf numFmtId="0" fontId="10" fillId="0" borderId="0" xfId="0" applyFont="1" applyBorder="1" applyAlignment="1">
      <alignment wrapText="1"/>
    </xf>
    <xf numFmtId="0" fontId="10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/>
    <xf numFmtId="0" fontId="41" fillId="0" borderId="0" xfId="0" applyFont="1" applyAlignment="1">
      <alignment horizontal="center"/>
    </xf>
    <xf numFmtId="0" fontId="5" fillId="2" borderId="5" xfId="0" applyFont="1" applyFill="1" applyBorder="1" applyAlignment="1" applyProtection="1">
      <alignment horizontal="center" vertical="center" wrapText="1"/>
      <protection hidden="1"/>
    </xf>
    <xf numFmtId="0" fontId="5" fillId="2" borderId="6" xfId="0" applyFont="1" applyFill="1" applyBorder="1" applyAlignment="1" applyProtection="1">
      <alignment horizontal="center" vertical="center" wrapText="1"/>
      <protection hidden="1"/>
    </xf>
    <xf numFmtId="49" fontId="18" fillId="6" borderId="16" xfId="0" applyNumberFormat="1" applyFont="1" applyFill="1" applyBorder="1" applyAlignment="1">
      <alignment horizontal="center" vertical="center" wrapText="1"/>
    </xf>
    <xf numFmtId="49" fontId="18" fillId="6" borderId="17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hidden="1"/>
    </xf>
    <xf numFmtId="0" fontId="5" fillId="2" borderId="3" xfId="0" applyFont="1" applyFill="1" applyBorder="1" applyAlignment="1" applyProtection="1">
      <alignment horizontal="center" vertical="center" wrapText="1"/>
      <protection hidden="1"/>
    </xf>
    <xf numFmtId="0" fontId="5" fillId="2" borderId="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vertical="center" wrapText="1"/>
      <protection hidden="1"/>
    </xf>
    <xf numFmtId="0" fontId="37" fillId="4" borderId="2" xfId="0" applyFont="1" applyFill="1" applyBorder="1" applyAlignment="1">
      <alignment horizontal="center" vertical="top" wrapText="1"/>
    </xf>
    <xf numFmtId="0" fontId="37" fillId="4" borderId="4" xfId="0" applyFont="1" applyFill="1" applyBorder="1" applyAlignment="1">
      <alignment horizontal="center" vertical="top" wrapText="1"/>
    </xf>
    <xf numFmtId="0" fontId="37" fillId="5" borderId="2" xfId="0" applyFont="1" applyFill="1" applyBorder="1" applyAlignment="1">
      <alignment horizontal="center" vertical="top" wrapText="1"/>
    </xf>
    <xf numFmtId="0" fontId="37" fillId="5" borderId="4" xfId="0" applyFont="1" applyFill="1" applyBorder="1" applyAlignment="1">
      <alignment horizontal="center" vertical="top" wrapText="1"/>
    </xf>
    <xf numFmtId="0" fontId="5" fillId="0" borderId="3" xfId="0" applyFont="1" applyFill="1" applyBorder="1" applyAlignment="1" applyProtection="1">
      <alignment horizontal="center" vertical="top" wrapText="1"/>
      <protection hidden="1"/>
    </xf>
    <xf numFmtId="0" fontId="5" fillId="0" borderId="4" xfId="0" applyFont="1" applyFill="1" applyBorder="1" applyAlignment="1" applyProtection="1">
      <alignment horizontal="center" vertical="top" wrapText="1"/>
      <protection hidden="1"/>
    </xf>
    <xf numFmtId="0" fontId="5" fillId="0" borderId="3" xfId="0" applyFont="1" applyBorder="1" applyAlignment="1" applyProtection="1">
      <alignment horizontal="center" vertical="top" wrapText="1"/>
      <protection hidden="1"/>
    </xf>
    <xf numFmtId="0" fontId="5" fillId="0" borderId="4" xfId="0" applyFont="1" applyBorder="1" applyAlignment="1" applyProtection="1">
      <alignment horizontal="center" vertical="top" wrapText="1"/>
      <protection hidden="1"/>
    </xf>
    <xf numFmtId="0" fontId="37" fillId="4" borderId="1" xfId="0" applyFont="1" applyFill="1" applyBorder="1" applyAlignment="1">
      <alignment horizontal="center" vertical="center" wrapText="1"/>
    </xf>
    <xf numFmtId="0" fontId="37" fillId="4" borderId="2" xfId="0" applyFont="1" applyFill="1" applyBorder="1" applyAlignment="1">
      <alignment horizontal="center" vertical="center" wrapText="1"/>
    </xf>
    <xf numFmtId="0" fontId="37" fillId="4" borderId="4" xfId="0" applyFont="1" applyFill="1" applyBorder="1" applyAlignment="1">
      <alignment horizontal="center" vertical="center" wrapText="1"/>
    </xf>
    <xf numFmtId="0" fontId="37" fillId="4" borderId="5" xfId="0" applyFont="1" applyFill="1" applyBorder="1" applyAlignment="1">
      <alignment horizontal="center" vertical="center" wrapText="1"/>
    </xf>
    <xf numFmtId="0" fontId="37" fillId="4" borderId="6" xfId="0" applyFont="1" applyFill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/>
    </xf>
    <xf numFmtId="0" fontId="38" fillId="0" borderId="4" xfId="0" applyFont="1" applyBorder="1" applyAlignment="1">
      <alignment horizontal="center"/>
    </xf>
    <xf numFmtId="49" fontId="18" fillId="6" borderId="7" xfId="0" applyNumberFormat="1" applyFont="1" applyFill="1" applyBorder="1" applyAlignment="1">
      <alignment horizontal="center" vertical="center" wrapText="1"/>
    </xf>
    <xf numFmtId="49" fontId="18" fillId="6" borderId="8" xfId="0" applyNumberFormat="1" applyFont="1" applyFill="1" applyBorder="1" applyAlignment="1">
      <alignment horizontal="center" vertical="center" wrapText="1"/>
    </xf>
    <xf numFmtId="49" fontId="18" fillId="6" borderId="13" xfId="0" applyNumberFormat="1" applyFont="1" applyFill="1" applyBorder="1" applyAlignment="1">
      <alignment horizontal="center" vertical="center" wrapText="1"/>
    </xf>
    <xf numFmtId="49" fontId="18" fillId="6" borderId="14" xfId="0" applyNumberFormat="1" applyFont="1" applyFill="1" applyBorder="1" applyAlignment="1">
      <alignment horizontal="center" vertical="center" wrapText="1"/>
    </xf>
    <xf numFmtId="2" fontId="19" fillId="0" borderId="9" xfId="0" applyNumberFormat="1" applyFont="1" applyBorder="1" applyAlignment="1">
      <alignment horizontal="center" vertical="center"/>
    </xf>
    <xf numFmtId="2" fontId="19" fillId="0" borderId="10" xfId="0" applyNumberFormat="1" applyFont="1" applyBorder="1" applyAlignment="1">
      <alignment horizontal="center" vertical="center"/>
    </xf>
    <xf numFmtId="2" fontId="19" fillId="0" borderId="11" xfId="0" applyNumberFormat="1" applyFont="1" applyBorder="1" applyAlignment="1">
      <alignment horizontal="center" vertical="center"/>
    </xf>
    <xf numFmtId="0" fontId="37" fillId="4" borderId="2" xfId="0" applyFont="1" applyFill="1" applyBorder="1" applyAlignment="1">
      <alignment horizontal="center" vertical="top"/>
    </xf>
    <xf numFmtId="0" fontId="37" fillId="4" borderId="4" xfId="0" applyFont="1" applyFill="1" applyBorder="1" applyAlignment="1">
      <alignment horizontal="center" vertical="top"/>
    </xf>
    <xf numFmtId="0" fontId="25" fillId="2" borderId="2" xfId="0" applyFont="1" applyFill="1" applyBorder="1" applyAlignment="1" applyProtection="1">
      <alignment horizontal="center" vertical="center" wrapText="1"/>
      <protection hidden="1"/>
    </xf>
    <xf numFmtId="0" fontId="25" fillId="2" borderId="3" xfId="0" applyFont="1" applyFill="1" applyBorder="1" applyAlignment="1" applyProtection="1">
      <alignment horizontal="center" vertical="center" wrapText="1"/>
      <protection hidden="1"/>
    </xf>
    <xf numFmtId="0" fontId="25" fillId="2" borderId="4" xfId="0" applyFont="1" applyFill="1" applyBorder="1" applyAlignment="1" applyProtection="1">
      <alignment horizontal="center" vertical="center" wrapText="1"/>
      <protection hidden="1"/>
    </xf>
    <xf numFmtId="0" fontId="25" fillId="2" borderId="5" xfId="0" applyFont="1" applyFill="1" applyBorder="1" applyAlignment="1" applyProtection="1">
      <alignment horizontal="center" vertical="center" wrapText="1"/>
      <protection hidden="1"/>
    </xf>
    <xf numFmtId="0" fontId="25" fillId="2" borderId="6" xfId="0" applyFont="1" applyFill="1" applyBorder="1" applyAlignment="1" applyProtection="1">
      <alignment horizontal="center" vertical="center" wrapText="1"/>
      <protection hidden="1"/>
    </xf>
    <xf numFmtId="0" fontId="24" fillId="0" borderId="6" xfId="0" applyFont="1" applyBorder="1" applyAlignment="1" applyProtection="1">
      <alignment vertical="center" wrapText="1"/>
      <protection hidden="1"/>
    </xf>
    <xf numFmtId="0" fontId="25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24" fillId="0" borderId="6" xfId="0" applyNumberFormat="1" applyFont="1" applyBorder="1" applyAlignment="1" applyProtection="1">
      <alignment horizontal="center" vertical="center" wrapText="1"/>
      <protection hidden="1"/>
    </xf>
    <xf numFmtId="49" fontId="32" fillId="6" borderId="7" xfId="0" applyNumberFormat="1" applyFont="1" applyFill="1" applyBorder="1" applyAlignment="1">
      <alignment horizontal="center" vertical="center" wrapText="1"/>
    </xf>
    <xf numFmtId="49" fontId="32" fillId="6" borderId="8" xfId="0" applyNumberFormat="1" applyFont="1" applyFill="1" applyBorder="1" applyAlignment="1">
      <alignment horizontal="center" vertical="center" wrapText="1"/>
    </xf>
    <xf numFmtId="49" fontId="32" fillId="6" borderId="13" xfId="0" applyNumberFormat="1" applyFont="1" applyFill="1" applyBorder="1" applyAlignment="1">
      <alignment horizontal="center" vertical="center" wrapText="1"/>
    </xf>
    <xf numFmtId="49" fontId="32" fillId="6" borderId="14" xfId="0" applyNumberFormat="1" applyFont="1" applyFill="1" applyBorder="1" applyAlignment="1">
      <alignment horizontal="center" vertical="center" wrapText="1"/>
    </xf>
    <xf numFmtId="2" fontId="33" fillId="0" borderId="9" xfId="0" applyNumberFormat="1" applyFont="1" applyBorder="1" applyAlignment="1">
      <alignment horizontal="center" vertical="center"/>
    </xf>
    <xf numFmtId="2" fontId="33" fillId="0" borderId="10" xfId="0" applyNumberFormat="1" applyFont="1" applyBorder="1" applyAlignment="1">
      <alignment horizontal="center" vertical="center"/>
    </xf>
    <xf numFmtId="2" fontId="33" fillId="0" borderId="11" xfId="0" applyNumberFormat="1" applyFont="1" applyBorder="1" applyAlignment="1">
      <alignment horizontal="center" vertical="center"/>
    </xf>
    <xf numFmtId="49" fontId="32" fillId="6" borderId="16" xfId="0" applyNumberFormat="1" applyFont="1" applyFill="1" applyBorder="1" applyAlignment="1">
      <alignment horizontal="center" vertical="center" wrapText="1"/>
    </xf>
    <xf numFmtId="49" fontId="32" fillId="6" borderId="17" xfId="0" applyNumberFormat="1" applyFont="1" applyFill="1" applyBorder="1" applyAlignment="1">
      <alignment horizontal="center" vertical="center" wrapText="1"/>
    </xf>
    <xf numFmtId="0" fontId="27" fillId="0" borderId="3" xfId="0" applyFont="1" applyBorder="1" applyAlignment="1" applyProtection="1">
      <alignment horizontal="center" vertical="top" wrapText="1"/>
      <protection hidden="1"/>
    </xf>
    <xf numFmtId="0" fontId="27" fillId="0" borderId="4" xfId="0" applyFont="1" applyBorder="1" applyAlignment="1" applyProtection="1">
      <alignment horizontal="center" vertical="top" wrapText="1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49" fontId="18" fillId="0" borderId="7" xfId="0" applyNumberFormat="1" applyFont="1" applyFill="1" applyBorder="1" applyAlignment="1">
      <alignment horizontal="center" vertical="center" wrapText="1"/>
    </xf>
    <xf numFmtId="49" fontId="18" fillId="0" borderId="8" xfId="0" applyNumberFormat="1" applyFont="1" applyFill="1" applyBorder="1" applyAlignment="1">
      <alignment horizontal="center" vertical="center" wrapText="1"/>
    </xf>
    <xf numFmtId="49" fontId="18" fillId="0" borderId="21" xfId="0" applyNumberFormat="1" applyFont="1" applyFill="1" applyBorder="1" applyAlignment="1">
      <alignment horizontal="center" vertical="center" wrapText="1"/>
    </xf>
    <xf numFmtId="49" fontId="18" fillId="0" borderId="13" xfId="0" applyNumberFormat="1" applyFont="1" applyFill="1" applyBorder="1" applyAlignment="1">
      <alignment horizontal="center" vertical="center" wrapText="1"/>
    </xf>
    <xf numFmtId="49" fontId="18" fillId="0" borderId="14" xfId="0" applyNumberFormat="1" applyFont="1" applyFill="1" applyBorder="1" applyAlignment="1">
      <alignment horizontal="center" vertical="center" wrapText="1"/>
    </xf>
    <xf numFmtId="49" fontId="18" fillId="0" borderId="22" xfId="0" applyNumberFormat="1" applyFont="1" applyFill="1" applyBorder="1" applyAlignment="1">
      <alignment horizontal="center" vertical="center" wrapText="1"/>
    </xf>
    <xf numFmtId="0" fontId="35" fillId="0" borderId="18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2" fontId="19" fillId="0" borderId="9" xfId="0" applyNumberFormat="1" applyFont="1" applyFill="1" applyBorder="1" applyAlignment="1">
      <alignment horizontal="center" vertical="center"/>
    </xf>
    <xf numFmtId="2" fontId="19" fillId="0" borderId="10" xfId="0" applyNumberFormat="1" applyFont="1" applyFill="1" applyBorder="1" applyAlignment="1">
      <alignment horizontal="center" vertical="center"/>
    </xf>
    <xf numFmtId="2" fontId="19" fillId="0" borderId="11" xfId="0" applyNumberFormat="1" applyFont="1" applyFill="1" applyBorder="1" applyAlignment="1">
      <alignment horizontal="center" vertical="center"/>
    </xf>
    <xf numFmtId="49" fontId="18" fillId="0" borderId="16" xfId="0" applyNumberFormat="1" applyFont="1" applyFill="1" applyBorder="1" applyAlignment="1">
      <alignment horizontal="center" vertical="center" wrapText="1"/>
    </xf>
    <xf numFmtId="49" fontId="18" fillId="0" borderId="17" xfId="0" applyNumberFormat="1" applyFont="1" applyFill="1" applyBorder="1" applyAlignment="1">
      <alignment horizontal="center" vertical="center" wrapText="1"/>
    </xf>
    <xf numFmtId="49" fontId="18" fillId="0" borderId="23" xfId="0" applyNumberFormat="1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/>
    </xf>
    <xf numFmtId="0" fontId="38" fillId="0" borderId="4" xfId="0" applyFont="1" applyFill="1" applyBorder="1" applyAlignment="1">
      <alignment horizontal="center"/>
    </xf>
    <xf numFmtId="0" fontId="8" fillId="0" borderId="2" xfId="0" applyFont="1" applyFill="1" applyBorder="1" applyAlignment="1" applyProtection="1">
      <alignment horizontal="center" vertical="top" wrapText="1"/>
      <protection hidden="1"/>
    </xf>
    <xf numFmtId="0" fontId="8" fillId="0" borderId="3" xfId="0" applyFont="1" applyFill="1" applyBorder="1" applyAlignment="1" applyProtection="1">
      <alignment horizontal="center" vertical="top" wrapText="1"/>
      <protection hidden="1"/>
    </xf>
    <xf numFmtId="0" fontId="8" fillId="0" borderId="4" xfId="0" applyFont="1" applyFill="1" applyBorder="1" applyAlignment="1" applyProtection="1">
      <alignment horizontal="center" vertical="top" wrapText="1"/>
      <protection hidden="1"/>
    </xf>
    <xf numFmtId="0" fontId="37" fillId="0" borderId="2" xfId="0" applyFont="1" applyFill="1" applyBorder="1" applyAlignment="1">
      <alignment horizontal="center" vertical="top" wrapText="1"/>
    </xf>
    <xf numFmtId="0" fontId="37" fillId="0" borderId="4" xfId="0" applyFont="1" applyFill="1" applyBorder="1" applyAlignment="1">
      <alignment horizontal="center" vertical="top" wrapText="1"/>
    </xf>
    <xf numFmtId="0" fontId="37" fillId="0" borderId="2" xfId="0" applyFont="1" applyFill="1" applyBorder="1" applyAlignment="1">
      <alignment horizontal="center" vertical="top"/>
    </xf>
    <xf numFmtId="0" fontId="37" fillId="0" borderId="4" xfId="0" applyFont="1" applyFill="1" applyBorder="1" applyAlignment="1">
      <alignment horizontal="center" vertical="top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5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vertical="center" wrapText="1"/>
      <protection hidden="1"/>
    </xf>
    <xf numFmtId="0" fontId="0" fillId="0" borderId="6" xfId="0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center" vertical="top" wrapText="1"/>
      <protection hidden="1"/>
    </xf>
    <xf numFmtId="0" fontId="8" fillId="0" borderId="4" xfId="0" applyFont="1" applyBorder="1" applyAlignment="1" applyProtection="1">
      <alignment horizontal="center" vertical="top" wrapText="1"/>
      <protection hidden="1"/>
    </xf>
    <xf numFmtId="0" fontId="8" fillId="0" borderId="2" xfId="0" applyFont="1" applyBorder="1" applyAlignment="1" applyProtection="1">
      <alignment horizontal="center" vertical="top" wrapText="1"/>
      <protection hidden="1"/>
    </xf>
    <xf numFmtId="0" fontId="8" fillId="0" borderId="1" xfId="0" applyFont="1" applyFill="1" applyBorder="1" applyAlignment="1" applyProtection="1">
      <alignment horizontal="center" vertical="top" wrapText="1"/>
      <protection hidden="1"/>
    </xf>
    <xf numFmtId="0" fontId="9" fillId="0" borderId="1" xfId="0" applyFont="1" applyFill="1" applyBorder="1" applyAlignment="1" applyProtection="1">
      <alignment horizontal="center" vertical="top" wrapText="1"/>
      <protection hidden="1"/>
    </xf>
    <xf numFmtId="0" fontId="8" fillId="0" borderId="1" xfId="0" applyFont="1" applyBorder="1" applyAlignment="1" applyProtection="1">
      <alignment horizontal="center" vertical="top" wrapText="1"/>
      <protection hidden="1"/>
    </xf>
    <xf numFmtId="0" fontId="9" fillId="0" borderId="1" xfId="0" applyFont="1" applyBorder="1" applyAlignment="1" applyProtection="1">
      <alignment horizontal="center" vertical="top" wrapText="1"/>
      <protection hidden="1"/>
    </xf>
    <xf numFmtId="0" fontId="22" fillId="4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9;&#1072;&#1085;&#1086;&#1074;&#1086;%20&#1088;&#1072;&#1089;&#1087;&#1077;&#1095;&#1072;&#1090;&#1072;&#1090;&#1100;/&#1052;&#1077;&#1085;&#1102;%202023-2024%201%20&#1088;&#1072;&#1079;.%20&#1089;%2012%20&#1080;%20&#1089;&#1090;&#1072;&#1088;&#1096;&#1077;%20&#1085;&#1072;%2010%20&#1076;&#1085;&#1077;&#1081;/&#1052;&#1077;&#1085;&#1102;%202023-2024%201-&#1093;%20&#1088;&#1072;&#1079;.%20&#1089;%2012%20&#1080;%20&#1089;&#1090;&#1072;&#1088;&#1096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свод 10 дней"/>
    </sheetNames>
    <sheetDataSet>
      <sheetData sheetId="0">
        <row r="16">
          <cell r="B16" t="str">
            <v xml:space="preserve"> ООО Фирма «Партнер»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O22"/>
  <sheetViews>
    <sheetView view="pageBreakPreview" topLeftCell="A10" zoomScale="70" zoomScaleNormal="70" zoomScaleSheetLayoutView="70" workbookViewId="0">
      <selection activeCell="A18" sqref="A18:O18"/>
    </sheetView>
  </sheetViews>
  <sheetFormatPr defaultColWidth="8.88671875" defaultRowHeight="14.4" x14ac:dyDescent="0.3"/>
  <cols>
    <col min="1" max="1" width="8.88671875" style="1"/>
    <col min="2" max="2" width="39.5546875" style="1" customWidth="1"/>
    <col min="3" max="6" width="8.88671875" style="1"/>
    <col min="7" max="7" width="12.6640625" style="1" bestFit="1" customWidth="1"/>
    <col min="8" max="16384" width="8.88671875" style="1"/>
  </cols>
  <sheetData>
    <row r="1" spans="1:15" x14ac:dyDescent="0.3">
      <c r="A1" s="156"/>
      <c r="B1" s="157"/>
      <c r="K1" s="158" t="s">
        <v>98</v>
      </c>
      <c r="L1" s="158"/>
      <c r="M1" s="158"/>
      <c r="N1" s="158"/>
      <c r="O1" s="158"/>
    </row>
    <row r="2" spans="1:15" x14ac:dyDescent="0.3">
      <c r="A2" s="157"/>
      <c r="B2" s="157"/>
      <c r="K2" s="158"/>
      <c r="L2" s="158"/>
      <c r="M2" s="158"/>
      <c r="N2" s="158"/>
      <c r="O2" s="158"/>
    </row>
    <row r="3" spans="1:15" ht="65.25" customHeight="1" x14ac:dyDescent="0.3">
      <c r="A3" s="157"/>
      <c r="B3" s="157"/>
      <c r="K3" s="158"/>
      <c r="L3" s="158"/>
      <c r="M3" s="158"/>
      <c r="N3" s="158"/>
      <c r="O3" s="158"/>
    </row>
    <row r="4" spans="1:15" ht="32.4" x14ac:dyDescent="0.6">
      <c r="A4" s="160" t="s">
        <v>24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</row>
    <row r="5" spans="1:15" ht="32.4" x14ac:dyDescent="0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32.4" x14ac:dyDescent="0.6">
      <c r="A6" s="160" t="s">
        <v>110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</row>
    <row r="7" spans="1:15" ht="22.8" x14ac:dyDescent="0.4">
      <c r="C7" s="162" t="s">
        <v>99</v>
      </c>
      <c r="D7" s="162"/>
      <c r="E7" s="162"/>
      <c r="F7" s="162"/>
      <c r="G7" s="162"/>
      <c r="H7" s="162"/>
      <c r="I7" s="162"/>
      <c r="J7" s="162"/>
    </row>
    <row r="8" spans="1:15" ht="21" x14ac:dyDescent="0.4">
      <c r="A8" s="154" t="s">
        <v>111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</row>
    <row r="9" spans="1:15" ht="21" x14ac:dyDescent="0.4">
      <c r="A9" s="154" t="s">
        <v>112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</row>
    <row r="10" spans="1:15" ht="21" x14ac:dyDescent="0.4">
      <c r="A10" s="154" t="s">
        <v>113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</row>
    <row r="11" spans="1:15" ht="21" x14ac:dyDescent="0.4">
      <c r="A11" s="154" t="s">
        <v>114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</row>
    <row r="12" spans="1:15" ht="21" x14ac:dyDescent="0.4">
      <c r="A12" s="154" t="s">
        <v>115</v>
      </c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</row>
    <row r="13" spans="1:15" ht="21" x14ac:dyDescent="0.4">
      <c r="A13" s="154" t="s">
        <v>116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</row>
    <row r="14" spans="1:15" ht="21" x14ac:dyDescent="0.4">
      <c r="A14" s="145"/>
      <c r="B14" s="147" t="s">
        <v>117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ht="21" customHeight="1" x14ac:dyDescent="0.4">
      <c r="A15" s="159" t="s">
        <v>128</v>
      </c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</row>
    <row r="16" spans="1:15" ht="21" customHeight="1" x14ac:dyDescent="0.4">
      <c r="A16" s="159" t="str">
        <f>'[1]Титульный лист'!$B$16</f>
        <v xml:space="preserve"> ООО Фирма «Партнер»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</row>
    <row r="17" spans="1:15" ht="14.4" customHeight="1" x14ac:dyDescent="0.4">
      <c r="A17" s="159"/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</row>
    <row r="18" spans="1:15" ht="14.4" customHeight="1" x14ac:dyDescent="0.4">
      <c r="A18" s="159"/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</row>
    <row r="19" spans="1:15" ht="14.4" customHeight="1" x14ac:dyDescent="0.4">
      <c r="A19" s="152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</row>
    <row r="20" spans="1:15" ht="14.4" customHeight="1" x14ac:dyDescent="0.4">
      <c r="A20" s="159"/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</row>
    <row r="21" spans="1:15" ht="14.4" customHeight="1" x14ac:dyDescent="0.4">
      <c r="A21" s="159"/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</row>
    <row r="22" spans="1:15" ht="14.4" customHeight="1" x14ac:dyDescent="0.35">
      <c r="A22" s="2"/>
    </row>
  </sheetData>
  <sheetProtection selectLockedCells="1" selectUnlockedCells="1"/>
  <mergeCells count="17">
    <mergeCell ref="A21:O21"/>
    <mergeCell ref="A11:O11"/>
    <mergeCell ref="A12:O12"/>
    <mergeCell ref="A15:O15"/>
    <mergeCell ref="A16:O16"/>
    <mergeCell ref="A17:O17"/>
    <mergeCell ref="A18:O18"/>
    <mergeCell ref="A9:O9"/>
    <mergeCell ref="A1:B3"/>
    <mergeCell ref="K1:O3"/>
    <mergeCell ref="A20:O20"/>
    <mergeCell ref="A10:O10"/>
    <mergeCell ref="A4:O4"/>
    <mergeCell ref="A6:O6"/>
    <mergeCell ref="A8:O8"/>
    <mergeCell ref="C7:J7"/>
    <mergeCell ref="A13:O13"/>
  </mergeCells>
  <printOptions horizontalCentered="1" verticalCentered="1"/>
  <pageMargins left="0.25" right="0.25" top="0.75" bottom="0.75" header="0.3" footer="0.3"/>
  <pageSetup paperSize="9" scale="78" fitToHeight="6" orientation="landscape" r:id="rId1"/>
  <headerFooter differentFirst="1">
    <oddFooter>&amp;CМухина Анастасия Викторовна, ГБПОУ "Тверской колледж сервиса и туризма"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O57"/>
  <sheetViews>
    <sheetView view="pageBreakPreview" zoomScale="80" zoomScaleNormal="100" zoomScaleSheetLayoutView="80" workbookViewId="0">
      <selection activeCell="N8" sqref="N8"/>
    </sheetView>
  </sheetViews>
  <sheetFormatPr defaultRowHeight="14.4" x14ac:dyDescent="0.3"/>
  <cols>
    <col min="1" max="1" width="12.109375" customWidth="1"/>
    <col min="2" max="2" width="38.5546875" bestFit="1" customWidth="1"/>
    <col min="7" max="7" width="10.33203125" customWidth="1"/>
    <col min="8" max="8" width="11.44140625" customWidth="1"/>
    <col min="9" max="9" width="11.109375" customWidth="1"/>
    <col min="12" max="12" width="10.109375" bestFit="1" customWidth="1"/>
    <col min="13" max="13" width="9.33203125" customWidth="1"/>
  </cols>
  <sheetData>
    <row r="1" spans="1:15" ht="15.6" x14ac:dyDescent="0.3">
      <c r="A1" s="9" t="s">
        <v>30</v>
      </c>
      <c r="B1" s="8" t="s">
        <v>40</v>
      </c>
    </row>
    <row r="2" spans="1:15" ht="15.6" x14ac:dyDescent="0.3">
      <c r="A2" s="9" t="s">
        <v>32</v>
      </c>
      <c r="B2" s="8" t="s">
        <v>54</v>
      </c>
    </row>
    <row r="3" spans="1:15" ht="15.6" x14ac:dyDescent="0.3">
      <c r="A3" s="9" t="s">
        <v>34</v>
      </c>
      <c r="B3" s="8" t="s">
        <v>35</v>
      </c>
    </row>
    <row r="4" spans="1:15" ht="46.8" x14ac:dyDescent="0.3">
      <c r="A4" s="9" t="s">
        <v>36</v>
      </c>
      <c r="B4" s="8" t="s">
        <v>37</v>
      </c>
    </row>
    <row r="5" spans="1:15" ht="15.6" x14ac:dyDescent="0.3">
      <c r="A5" s="253" t="s">
        <v>25</v>
      </c>
      <c r="B5" s="253" t="s">
        <v>20</v>
      </c>
      <c r="C5" s="253" t="s">
        <v>23</v>
      </c>
      <c r="D5" s="250" t="s">
        <v>28</v>
      </c>
      <c r="E5" s="251"/>
      <c r="F5" s="252"/>
      <c r="G5" s="253" t="s">
        <v>0</v>
      </c>
      <c r="H5" s="250" t="s">
        <v>27</v>
      </c>
      <c r="I5" s="251"/>
      <c r="J5" s="251"/>
      <c r="K5" s="252"/>
      <c r="L5" s="250" t="s">
        <v>26</v>
      </c>
      <c r="M5" s="251"/>
      <c r="N5" s="251"/>
      <c r="O5" s="252"/>
    </row>
    <row r="6" spans="1:15" ht="15.6" x14ac:dyDescent="0.3">
      <c r="A6" s="254"/>
      <c r="B6" s="255"/>
      <c r="C6" s="256"/>
      <c r="D6" s="5" t="s">
        <v>1</v>
      </c>
      <c r="E6" s="5" t="s">
        <v>2</v>
      </c>
      <c r="F6" s="5" t="s">
        <v>3</v>
      </c>
      <c r="G6" s="254"/>
      <c r="H6" s="5" t="s">
        <v>19</v>
      </c>
      <c r="I6" s="5" t="s">
        <v>4</v>
      </c>
      <c r="J6" s="5" t="s">
        <v>5</v>
      </c>
      <c r="K6" s="5" t="s">
        <v>6</v>
      </c>
      <c r="L6" s="5" t="s">
        <v>7</v>
      </c>
      <c r="M6" s="5" t="s">
        <v>122</v>
      </c>
      <c r="N6" s="5" t="s">
        <v>9</v>
      </c>
      <c r="O6" s="5" t="s">
        <v>10</v>
      </c>
    </row>
    <row r="7" spans="1:15" s="24" customFormat="1" ht="16.2" customHeight="1" x14ac:dyDescent="0.3">
      <c r="A7" s="260" t="s">
        <v>29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</row>
    <row r="8" spans="1:15" s="24" customFormat="1" ht="13.8" x14ac:dyDescent="0.3">
      <c r="A8" s="135">
        <v>73</v>
      </c>
      <c r="B8" s="6" t="s">
        <v>132</v>
      </c>
      <c r="C8" s="135">
        <v>250</v>
      </c>
      <c r="D8" s="12">
        <v>10.199999999999999</v>
      </c>
      <c r="E8" s="12">
        <v>2.8</v>
      </c>
      <c r="F8" s="12">
        <v>12.1</v>
      </c>
      <c r="G8" s="12">
        <v>118</v>
      </c>
      <c r="H8" s="12">
        <f>0.17/4</f>
        <v>4.2500000000000003E-2</v>
      </c>
      <c r="I8" s="12">
        <v>0.96</v>
      </c>
      <c r="J8" s="12"/>
      <c r="K8" s="12"/>
      <c r="L8" s="12">
        <v>7.4</v>
      </c>
      <c r="M8" s="12">
        <v>0.02</v>
      </c>
      <c r="N8" s="12">
        <v>5.6</v>
      </c>
      <c r="O8" s="12">
        <v>0.45</v>
      </c>
    </row>
    <row r="9" spans="1:15" s="23" customFormat="1" ht="13.8" x14ac:dyDescent="0.3">
      <c r="A9" s="135">
        <v>83</v>
      </c>
      <c r="B9" s="6" t="s">
        <v>121</v>
      </c>
      <c r="C9" s="135">
        <v>90</v>
      </c>
      <c r="D9" s="12">
        <v>21.6</v>
      </c>
      <c r="E9" s="12">
        <v>10.5</v>
      </c>
      <c r="F9" s="12">
        <v>12.4</v>
      </c>
      <c r="G9" s="12">
        <v>233</v>
      </c>
      <c r="H9" s="12">
        <v>0.12</v>
      </c>
      <c r="I9" s="12">
        <v>0.18</v>
      </c>
      <c r="J9" s="12">
        <v>0</v>
      </c>
      <c r="K9" s="12">
        <v>0</v>
      </c>
      <c r="L9" s="12">
        <v>55.8</v>
      </c>
      <c r="M9" s="12">
        <v>0.14000000000000001</v>
      </c>
      <c r="N9" s="12">
        <v>47.99</v>
      </c>
      <c r="O9" s="12">
        <v>1.1299999999999999</v>
      </c>
    </row>
    <row r="10" spans="1:15" s="10" customFormat="1" x14ac:dyDescent="0.3">
      <c r="A10" s="135">
        <v>146</v>
      </c>
      <c r="B10" s="6" t="s">
        <v>13</v>
      </c>
      <c r="C10" s="135">
        <v>200</v>
      </c>
      <c r="D10" s="12">
        <v>4.0999999999999996</v>
      </c>
      <c r="E10" s="12">
        <v>6.3</v>
      </c>
      <c r="F10" s="12">
        <v>26.7</v>
      </c>
      <c r="G10" s="12">
        <v>187</v>
      </c>
      <c r="H10" s="12">
        <v>0.16</v>
      </c>
      <c r="I10" s="12">
        <v>13.84</v>
      </c>
      <c r="J10" s="12"/>
      <c r="K10" s="12">
        <v>0</v>
      </c>
      <c r="L10" s="12">
        <v>47.47</v>
      </c>
      <c r="M10" s="12">
        <v>0.14000000000000001</v>
      </c>
      <c r="N10" s="12">
        <v>37.869999999999997</v>
      </c>
      <c r="O10" s="12">
        <v>1.38</v>
      </c>
    </row>
    <row r="11" spans="1:15" s="10" customFormat="1" x14ac:dyDescent="0.3">
      <c r="A11" s="150">
        <v>310</v>
      </c>
      <c r="B11" s="6" t="s">
        <v>129</v>
      </c>
      <c r="C11" s="135">
        <v>200</v>
      </c>
      <c r="D11" s="12">
        <v>0.5</v>
      </c>
      <c r="E11" s="12">
        <v>0.1</v>
      </c>
      <c r="F11" s="12">
        <v>30.9</v>
      </c>
      <c r="G11" s="12">
        <v>123</v>
      </c>
      <c r="H11" s="12">
        <v>0.01</v>
      </c>
      <c r="I11" s="12">
        <v>0.11</v>
      </c>
      <c r="J11" s="12" t="s">
        <v>130</v>
      </c>
      <c r="K11" s="12" t="s">
        <v>130</v>
      </c>
      <c r="L11" s="12">
        <v>14.19</v>
      </c>
      <c r="M11" s="12">
        <v>0.19</v>
      </c>
      <c r="N11" s="12">
        <v>8.07</v>
      </c>
      <c r="O11" s="12">
        <v>0.89</v>
      </c>
    </row>
    <row r="12" spans="1:15" s="10" customFormat="1" x14ac:dyDescent="0.3">
      <c r="A12" s="135">
        <v>1.5</v>
      </c>
      <c r="B12" s="6" t="s">
        <v>14</v>
      </c>
      <c r="C12" s="91">
        <v>50</v>
      </c>
      <c r="D12" s="92">
        <v>2.2400000000000002</v>
      </c>
      <c r="E12" s="91">
        <v>0.88</v>
      </c>
      <c r="F12" s="92">
        <v>19.760000000000002</v>
      </c>
      <c r="G12" s="91">
        <v>91.96</v>
      </c>
      <c r="H12" s="92">
        <v>0.04</v>
      </c>
      <c r="I12" s="91"/>
      <c r="J12" s="92"/>
      <c r="K12" s="91">
        <v>0.36</v>
      </c>
      <c r="L12" s="92">
        <v>9.1999999999999993</v>
      </c>
      <c r="M12" s="91">
        <v>42.4</v>
      </c>
      <c r="N12" s="92">
        <v>10</v>
      </c>
      <c r="O12" s="93">
        <v>1.24</v>
      </c>
    </row>
    <row r="13" spans="1:15" s="10" customFormat="1" x14ac:dyDescent="0.3">
      <c r="A13" s="135">
        <v>1.6</v>
      </c>
      <c r="B13" s="6" t="s">
        <v>60</v>
      </c>
      <c r="C13" s="135">
        <v>50</v>
      </c>
      <c r="D13" s="12">
        <v>3.16</v>
      </c>
      <c r="E13" s="12">
        <v>0.4</v>
      </c>
      <c r="F13" s="12">
        <v>19.32</v>
      </c>
      <c r="G13" s="12">
        <v>93.52</v>
      </c>
      <c r="H13" s="12">
        <v>0.04</v>
      </c>
      <c r="I13" s="12"/>
      <c r="J13" s="12"/>
      <c r="K13" s="12">
        <v>0.52</v>
      </c>
      <c r="L13" s="12">
        <v>9.1999999999999993</v>
      </c>
      <c r="M13" s="12">
        <v>34.799999999999997</v>
      </c>
      <c r="N13" s="12">
        <v>13.2</v>
      </c>
      <c r="O13" s="12">
        <v>0.44</v>
      </c>
    </row>
    <row r="14" spans="1:15" s="7" customFormat="1" ht="16.2" customHeight="1" x14ac:dyDescent="0.3">
      <c r="A14" s="94" t="s">
        <v>11</v>
      </c>
      <c r="B14" s="95"/>
      <c r="C14" s="95"/>
      <c r="D14" s="108">
        <f>SUM(D8:D13)</f>
        <v>41.8</v>
      </c>
      <c r="E14" s="108">
        <f>SUM(E8:E13)</f>
        <v>20.98</v>
      </c>
      <c r="F14" s="108">
        <f>SUM(F8:F13)</f>
        <v>121.18</v>
      </c>
      <c r="G14" s="108">
        <f>SUM(G8:G13)</f>
        <v>846.48</v>
      </c>
      <c r="H14" s="108"/>
      <c r="I14" s="108"/>
      <c r="J14" s="108"/>
      <c r="K14" s="108"/>
      <c r="L14" s="108"/>
      <c r="M14" s="108"/>
      <c r="N14" s="108"/>
      <c r="O14" s="108"/>
    </row>
    <row r="15" spans="1:15" s="7" customFormat="1" ht="16.2" customHeight="1" x14ac:dyDescent="0.3">
      <c r="A15" s="262" t="s">
        <v>21</v>
      </c>
      <c r="B15" s="263"/>
      <c r="C15" s="263"/>
      <c r="D15" s="263"/>
      <c r="E15" s="263"/>
      <c r="F15" s="263"/>
      <c r="G15" s="263"/>
      <c r="H15" s="263"/>
      <c r="I15" s="263"/>
      <c r="J15" s="263"/>
      <c r="K15" s="263"/>
      <c r="L15" s="263"/>
      <c r="M15" s="263"/>
      <c r="N15" s="263"/>
      <c r="O15" s="263"/>
    </row>
    <row r="16" spans="1:15" s="41" customFormat="1" ht="13.8" x14ac:dyDescent="0.3">
      <c r="A16" s="40"/>
      <c r="B16" s="30" t="s">
        <v>96</v>
      </c>
      <c r="C16" s="40" t="s">
        <v>103</v>
      </c>
      <c r="D16" s="121">
        <v>2.5</v>
      </c>
      <c r="E16" s="120">
        <v>0.1</v>
      </c>
      <c r="F16" s="121">
        <v>16</v>
      </c>
      <c r="G16" s="121">
        <v>317</v>
      </c>
      <c r="H16" s="121"/>
      <c r="I16" s="121"/>
      <c r="J16" s="121"/>
      <c r="K16" s="121"/>
      <c r="L16" s="121"/>
      <c r="M16" s="121"/>
      <c r="N16" s="121"/>
      <c r="O16" s="121"/>
    </row>
    <row r="17" spans="1:15" s="24" customFormat="1" ht="16.2" customHeight="1" x14ac:dyDescent="0.3">
      <c r="A17" s="94" t="s">
        <v>11</v>
      </c>
      <c r="B17" s="94"/>
      <c r="C17" s="94"/>
      <c r="D17" s="108">
        <f>SUM(D16:D16)</f>
        <v>2.5</v>
      </c>
      <c r="E17" s="108">
        <f>SUM(E16:E16)</f>
        <v>0.1</v>
      </c>
      <c r="F17" s="108">
        <f>SUM(F16:F16)</f>
        <v>16</v>
      </c>
      <c r="G17" s="108">
        <f>SUM(G16:G16)</f>
        <v>317</v>
      </c>
      <c r="H17" s="108"/>
      <c r="I17" s="108"/>
      <c r="J17" s="108"/>
      <c r="K17" s="108"/>
      <c r="L17" s="108"/>
      <c r="M17" s="108"/>
      <c r="N17" s="108"/>
      <c r="O17" s="108"/>
    </row>
    <row r="18" spans="1:15" s="7" customFormat="1" ht="16.2" customHeight="1" x14ac:dyDescent="0.3">
      <c r="A18" s="94" t="s">
        <v>15</v>
      </c>
      <c r="B18" s="95"/>
      <c r="C18" s="95"/>
      <c r="D18" s="97">
        <f>SUM(D14,D17)</f>
        <v>44.3</v>
      </c>
      <c r="E18" s="97">
        <f>SUM(E14,E17)</f>
        <v>21.080000000000002</v>
      </c>
      <c r="F18" s="97">
        <f>SUM(F14,F17)</f>
        <v>137.18</v>
      </c>
      <c r="G18" s="97">
        <f>SUM(G14,G17)</f>
        <v>1163.48</v>
      </c>
      <c r="H18" s="108"/>
      <c r="I18" s="108"/>
      <c r="J18" s="108"/>
      <c r="K18" s="108"/>
      <c r="L18" s="108"/>
      <c r="M18" s="108"/>
      <c r="N18" s="108"/>
      <c r="O18" s="108"/>
    </row>
    <row r="19" spans="1:15" ht="15" thickBot="1" x14ac:dyDescent="0.35"/>
    <row r="20" spans="1:15" ht="27" thickBot="1" x14ac:dyDescent="0.35">
      <c r="B20" s="188" t="s">
        <v>44</v>
      </c>
      <c r="C20" s="189"/>
      <c r="D20" s="189"/>
      <c r="E20" s="189"/>
      <c r="F20" s="192" t="s">
        <v>45</v>
      </c>
      <c r="G20" s="193"/>
      <c r="H20" s="194"/>
      <c r="I20" s="33" t="s">
        <v>46</v>
      </c>
    </row>
    <row r="21" spans="1:15" ht="15" thickBot="1" x14ac:dyDescent="0.35">
      <c r="B21" s="190"/>
      <c r="C21" s="191"/>
      <c r="D21" s="191"/>
      <c r="E21" s="191"/>
      <c r="F21" s="34" t="s">
        <v>1</v>
      </c>
      <c r="G21" s="34" t="s">
        <v>2</v>
      </c>
      <c r="H21" s="34" t="s">
        <v>3</v>
      </c>
      <c r="I21" s="35"/>
    </row>
    <row r="22" spans="1:15" ht="15" thickBot="1" x14ac:dyDescent="0.35">
      <c r="B22" s="165" t="s">
        <v>48</v>
      </c>
      <c r="C22" s="166"/>
      <c r="D22" s="166"/>
      <c r="E22" s="166"/>
      <c r="F22" s="34" t="s">
        <v>49</v>
      </c>
      <c r="G22" s="34" t="s">
        <v>50</v>
      </c>
      <c r="H22" s="34" t="s">
        <v>51</v>
      </c>
      <c r="I22" s="34" t="s">
        <v>104</v>
      </c>
    </row>
    <row r="23" spans="1:15" ht="15" thickBot="1" x14ac:dyDescent="0.35">
      <c r="B23" s="165" t="s">
        <v>47</v>
      </c>
      <c r="C23" s="166"/>
      <c r="D23" s="166"/>
      <c r="E23" s="166"/>
      <c r="F23" s="36">
        <f>D18</f>
        <v>44.3</v>
      </c>
      <c r="G23" s="36">
        <f>E18</f>
        <v>21.080000000000002</v>
      </c>
      <c r="H23" s="36">
        <f>F18</f>
        <v>137.18</v>
      </c>
      <c r="I23" s="36">
        <f>G18</f>
        <v>1163.48</v>
      </c>
    </row>
    <row r="25" spans="1:15" ht="35.25" customHeight="1" x14ac:dyDescent="0.3">
      <c r="B25" s="185" t="s">
        <v>93</v>
      </c>
      <c r="C25" s="185"/>
      <c r="D25" s="185"/>
      <c r="E25" s="185"/>
      <c r="F25" s="185"/>
      <c r="G25" s="185"/>
      <c r="H25" s="185"/>
    </row>
    <row r="26" spans="1:15" ht="31.5" customHeight="1" x14ac:dyDescent="0.3">
      <c r="B26" s="73" t="s">
        <v>55</v>
      </c>
      <c r="C26" s="180" t="s">
        <v>56</v>
      </c>
      <c r="D26" s="180"/>
      <c r="E26" s="180"/>
      <c r="F26" s="180"/>
      <c r="G26" s="186" t="s">
        <v>94</v>
      </c>
      <c r="H26" s="187"/>
      <c r="K26" s="9" t="s">
        <v>30</v>
      </c>
      <c r="L26" s="8" t="s">
        <v>40</v>
      </c>
    </row>
    <row r="27" spans="1:15" ht="31.2" x14ac:dyDescent="0.3">
      <c r="B27" s="183"/>
      <c r="C27" s="181" t="s">
        <v>57</v>
      </c>
      <c r="D27" s="182"/>
      <c r="E27" s="181" t="s">
        <v>58</v>
      </c>
      <c r="F27" s="182"/>
      <c r="G27" s="73" t="s">
        <v>57</v>
      </c>
      <c r="H27" s="73" t="s">
        <v>58</v>
      </c>
      <c r="K27" s="9" t="s">
        <v>32</v>
      </c>
      <c r="L27" s="8" t="s">
        <v>54</v>
      </c>
    </row>
    <row r="28" spans="1:15" ht="28.8" x14ac:dyDescent="0.3">
      <c r="B28" s="184"/>
      <c r="C28" s="181" t="s">
        <v>37</v>
      </c>
      <c r="D28" s="182"/>
      <c r="E28" s="181" t="s">
        <v>37</v>
      </c>
      <c r="F28" s="182"/>
      <c r="G28" s="73" t="s">
        <v>37</v>
      </c>
      <c r="H28" s="73" t="s">
        <v>37</v>
      </c>
      <c r="K28" s="9" t="s">
        <v>34</v>
      </c>
      <c r="L28" s="8" t="s">
        <v>35</v>
      </c>
    </row>
    <row r="29" spans="1:15" ht="62.4" x14ac:dyDescent="0.3">
      <c r="B29" s="74" t="s">
        <v>59</v>
      </c>
      <c r="C29" s="172">
        <v>80</v>
      </c>
      <c r="D29" s="173"/>
      <c r="E29" s="172">
        <v>80</v>
      </c>
      <c r="F29" s="173"/>
      <c r="G29" s="75">
        <v>40</v>
      </c>
      <c r="H29" s="75">
        <v>40</v>
      </c>
      <c r="K29" s="9" t="s">
        <v>36</v>
      </c>
      <c r="L29" s="8" t="s">
        <v>37</v>
      </c>
    </row>
    <row r="30" spans="1:15" x14ac:dyDescent="0.3">
      <c r="B30" s="74" t="s">
        <v>60</v>
      </c>
      <c r="C30" s="172">
        <v>150</v>
      </c>
      <c r="D30" s="173"/>
      <c r="E30" s="172">
        <v>150</v>
      </c>
      <c r="F30" s="173"/>
      <c r="G30" s="75">
        <f>18+10+50+40</f>
        <v>118</v>
      </c>
      <c r="H30" s="75">
        <v>118</v>
      </c>
    </row>
    <row r="31" spans="1:15" x14ac:dyDescent="0.3">
      <c r="B31" s="74" t="s">
        <v>61</v>
      </c>
      <c r="C31" s="172">
        <v>15</v>
      </c>
      <c r="D31" s="173"/>
      <c r="E31" s="172">
        <v>15</v>
      </c>
      <c r="F31" s="173"/>
      <c r="G31" s="75">
        <v>9.6</v>
      </c>
      <c r="H31" s="75">
        <v>9.6</v>
      </c>
    </row>
    <row r="32" spans="1:15" x14ac:dyDescent="0.3">
      <c r="B32" s="76" t="s">
        <v>62</v>
      </c>
      <c r="C32" s="174">
        <v>45</v>
      </c>
      <c r="D32" s="175"/>
      <c r="E32" s="174">
        <v>45</v>
      </c>
      <c r="F32" s="175"/>
      <c r="G32" s="77">
        <f>10+23</f>
        <v>33</v>
      </c>
      <c r="H32" s="77">
        <v>33</v>
      </c>
    </row>
    <row r="33" spans="2:8" x14ac:dyDescent="0.3">
      <c r="B33" s="74" t="s">
        <v>63</v>
      </c>
      <c r="C33" s="172">
        <v>15</v>
      </c>
      <c r="D33" s="173"/>
      <c r="E33" s="172">
        <v>15</v>
      </c>
      <c r="F33" s="173"/>
      <c r="G33" s="75"/>
      <c r="H33" s="75"/>
    </row>
    <row r="34" spans="2:8" x14ac:dyDescent="0.3">
      <c r="B34" s="74" t="s">
        <v>64</v>
      </c>
      <c r="C34" s="172" t="s">
        <v>65</v>
      </c>
      <c r="D34" s="173"/>
      <c r="E34" s="195">
        <v>188</v>
      </c>
      <c r="F34" s="196"/>
      <c r="G34" s="75">
        <v>33.25</v>
      </c>
      <c r="H34" s="75">
        <v>25</v>
      </c>
    </row>
    <row r="35" spans="2:8" x14ac:dyDescent="0.3">
      <c r="B35" s="74" t="s">
        <v>66</v>
      </c>
      <c r="C35" s="172">
        <v>350</v>
      </c>
      <c r="D35" s="173"/>
      <c r="E35" s="172" t="s">
        <v>67</v>
      </c>
      <c r="F35" s="173"/>
      <c r="G35" s="75">
        <f>85.6+37.5+12.5+12+142+3+5+6</f>
        <v>303.60000000000002</v>
      </c>
      <c r="H35" s="90">
        <f>67+30+10+10+114+2.5+4+6</f>
        <v>243.5</v>
      </c>
    </row>
    <row r="36" spans="2:8" x14ac:dyDescent="0.3">
      <c r="B36" s="74" t="s">
        <v>68</v>
      </c>
      <c r="C36" s="172">
        <v>200</v>
      </c>
      <c r="D36" s="173"/>
      <c r="E36" s="172" t="s">
        <v>69</v>
      </c>
      <c r="F36" s="173"/>
      <c r="G36" s="75">
        <f>135.7</f>
        <v>135.69999999999999</v>
      </c>
      <c r="H36" s="75">
        <v>125</v>
      </c>
    </row>
    <row r="37" spans="2:8" x14ac:dyDescent="0.3">
      <c r="B37" s="74" t="s">
        <v>70</v>
      </c>
      <c r="C37" s="172">
        <v>15</v>
      </c>
      <c r="D37" s="173"/>
      <c r="E37" s="172">
        <v>15</v>
      </c>
      <c r="F37" s="173"/>
      <c r="G37" s="75">
        <v>5.0999999999999996</v>
      </c>
      <c r="H37" s="75">
        <v>5</v>
      </c>
    </row>
    <row r="38" spans="2:8" ht="26.4" x14ac:dyDescent="0.3">
      <c r="B38" s="74" t="s">
        <v>71</v>
      </c>
      <c r="C38" s="172">
        <v>200</v>
      </c>
      <c r="D38" s="173"/>
      <c r="E38" s="172">
        <v>200</v>
      </c>
      <c r="F38" s="173"/>
      <c r="G38" s="75">
        <v>200</v>
      </c>
      <c r="H38" s="75">
        <v>200</v>
      </c>
    </row>
    <row r="39" spans="2:8" x14ac:dyDescent="0.3">
      <c r="B39" s="74" t="s">
        <v>72</v>
      </c>
      <c r="C39" s="172" t="s">
        <v>73</v>
      </c>
      <c r="D39" s="173"/>
      <c r="E39" s="172">
        <v>70</v>
      </c>
      <c r="F39" s="173"/>
      <c r="G39" s="75">
        <v>40</v>
      </c>
      <c r="H39" s="75">
        <v>25</v>
      </c>
    </row>
    <row r="40" spans="2:8" ht="26.4" x14ac:dyDescent="0.3">
      <c r="B40" s="74" t="s">
        <v>74</v>
      </c>
      <c r="C40" s="172" t="s">
        <v>75</v>
      </c>
      <c r="D40" s="173"/>
      <c r="E40" s="172">
        <v>35</v>
      </c>
      <c r="F40" s="173"/>
      <c r="G40" s="75"/>
      <c r="H40" s="75"/>
    </row>
    <row r="41" spans="2:8" x14ac:dyDescent="0.3">
      <c r="B41" s="74" t="s">
        <v>76</v>
      </c>
      <c r="C41" s="172">
        <v>60</v>
      </c>
      <c r="D41" s="173"/>
      <c r="E41" s="172">
        <v>58</v>
      </c>
      <c r="F41" s="173"/>
      <c r="G41" s="75">
        <v>90</v>
      </c>
      <c r="H41" s="75">
        <v>66</v>
      </c>
    </row>
    <row r="42" spans="2:8" x14ac:dyDescent="0.3">
      <c r="B42" s="74" t="s">
        <v>77</v>
      </c>
      <c r="C42" s="172">
        <v>15</v>
      </c>
      <c r="D42" s="173"/>
      <c r="E42" s="172">
        <v>14.7</v>
      </c>
      <c r="F42" s="173"/>
      <c r="G42" s="75"/>
      <c r="H42" s="75"/>
    </row>
    <row r="43" spans="2:8" x14ac:dyDescent="0.3">
      <c r="B43" s="74" t="s">
        <v>78</v>
      </c>
      <c r="C43" s="172">
        <v>300</v>
      </c>
      <c r="D43" s="173"/>
      <c r="E43" s="172">
        <v>300</v>
      </c>
      <c r="F43" s="173"/>
      <c r="G43" s="75">
        <f>26+50+100</f>
        <v>176</v>
      </c>
      <c r="H43" s="75">
        <v>176</v>
      </c>
    </row>
    <row r="44" spans="2:8" ht="26.4" x14ac:dyDescent="0.3">
      <c r="B44" s="74" t="s">
        <v>79</v>
      </c>
      <c r="C44" s="172">
        <v>150</v>
      </c>
      <c r="D44" s="173"/>
      <c r="E44" s="172">
        <v>150</v>
      </c>
      <c r="F44" s="173"/>
      <c r="G44" s="75">
        <v>206</v>
      </c>
      <c r="H44" s="75">
        <v>200</v>
      </c>
    </row>
    <row r="45" spans="2:8" x14ac:dyDescent="0.3">
      <c r="B45" s="74" t="s">
        <v>80</v>
      </c>
      <c r="C45" s="172">
        <v>50</v>
      </c>
      <c r="D45" s="173"/>
      <c r="E45" s="172">
        <v>50</v>
      </c>
      <c r="F45" s="173"/>
      <c r="G45" s="75"/>
      <c r="H45" s="75"/>
    </row>
    <row r="46" spans="2:8" x14ac:dyDescent="0.3">
      <c r="B46" s="74" t="s">
        <v>81</v>
      </c>
      <c r="C46" s="172">
        <v>10</v>
      </c>
      <c r="D46" s="173"/>
      <c r="E46" s="172">
        <v>9.8000000000000007</v>
      </c>
      <c r="F46" s="173"/>
      <c r="G46" s="75"/>
      <c r="H46" s="90"/>
    </row>
    <row r="47" spans="2:8" x14ac:dyDescent="0.3">
      <c r="B47" s="74" t="s">
        <v>82</v>
      </c>
      <c r="C47" s="172">
        <v>10</v>
      </c>
      <c r="D47" s="173"/>
      <c r="E47" s="172">
        <v>10</v>
      </c>
      <c r="F47" s="173"/>
      <c r="G47" s="80">
        <v>22</v>
      </c>
      <c r="H47" s="80">
        <v>22</v>
      </c>
    </row>
    <row r="48" spans="2:8" x14ac:dyDescent="0.3">
      <c r="B48" s="74" t="s">
        <v>83</v>
      </c>
      <c r="C48" s="172">
        <v>30</v>
      </c>
      <c r="D48" s="173"/>
      <c r="E48" s="172">
        <v>30</v>
      </c>
      <c r="F48" s="173"/>
      <c r="G48" s="75">
        <v>20</v>
      </c>
      <c r="H48" s="75">
        <v>20</v>
      </c>
    </row>
    <row r="49" spans="2:8" x14ac:dyDescent="0.3">
      <c r="B49" s="74" t="s">
        <v>84</v>
      </c>
      <c r="C49" s="172">
        <v>15</v>
      </c>
      <c r="D49" s="173"/>
      <c r="E49" s="172">
        <v>15</v>
      </c>
      <c r="F49" s="173"/>
      <c r="G49" s="75">
        <f>6+10+5+2+4</f>
        <v>27</v>
      </c>
      <c r="H49" s="75">
        <v>27</v>
      </c>
    </row>
    <row r="50" spans="2:8" x14ac:dyDescent="0.3">
      <c r="B50" s="74" t="s">
        <v>85</v>
      </c>
      <c r="C50" s="172" t="s">
        <v>86</v>
      </c>
      <c r="D50" s="173"/>
      <c r="E50" s="172">
        <v>40</v>
      </c>
      <c r="F50" s="173"/>
      <c r="G50" s="75">
        <v>3</v>
      </c>
      <c r="H50" s="75">
        <v>3</v>
      </c>
    </row>
    <row r="51" spans="2:8" x14ac:dyDescent="0.3">
      <c r="B51" s="74" t="s">
        <v>87</v>
      </c>
      <c r="C51" s="172">
        <v>40</v>
      </c>
      <c r="D51" s="173"/>
      <c r="E51" s="195">
        <v>40</v>
      </c>
      <c r="F51" s="196"/>
      <c r="G51" s="75">
        <f>3+4+3+20+1</f>
        <v>31</v>
      </c>
      <c r="H51" s="75">
        <v>31</v>
      </c>
    </row>
    <row r="52" spans="2:8" x14ac:dyDescent="0.3">
      <c r="B52" s="74" t="s">
        <v>88</v>
      </c>
      <c r="C52" s="195">
        <v>10</v>
      </c>
      <c r="D52" s="196"/>
      <c r="E52" s="172">
        <v>10</v>
      </c>
      <c r="F52" s="173"/>
      <c r="G52" s="75">
        <v>20</v>
      </c>
      <c r="H52" s="75">
        <v>20</v>
      </c>
    </row>
    <row r="53" spans="2:8" x14ac:dyDescent="0.3">
      <c r="B53" s="74" t="s">
        <v>89</v>
      </c>
      <c r="C53" s="172">
        <v>0.4</v>
      </c>
      <c r="D53" s="173"/>
      <c r="E53" s="172">
        <v>0.4</v>
      </c>
      <c r="F53" s="173"/>
      <c r="G53" s="75"/>
      <c r="H53" s="75"/>
    </row>
    <row r="54" spans="2:8" x14ac:dyDescent="0.3">
      <c r="B54" s="74" t="s">
        <v>90</v>
      </c>
      <c r="C54" s="172">
        <v>1.2</v>
      </c>
      <c r="D54" s="173"/>
      <c r="E54" s="172">
        <v>1.2</v>
      </c>
      <c r="F54" s="173"/>
      <c r="G54" s="75"/>
      <c r="H54" s="75"/>
    </row>
    <row r="55" spans="2:8" x14ac:dyDescent="0.3">
      <c r="B55" s="74" t="s">
        <v>91</v>
      </c>
      <c r="C55" s="172">
        <v>1</v>
      </c>
      <c r="D55" s="173"/>
      <c r="E55" s="172">
        <v>1</v>
      </c>
      <c r="F55" s="173"/>
      <c r="G55" s="75"/>
      <c r="H55" s="75"/>
    </row>
    <row r="56" spans="2:8" x14ac:dyDescent="0.3">
      <c r="B56" s="74" t="s">
        <v>92</v>
      </c>
      <c r="C56" s="172">
        <v>5</v>
      </c>
      <c r="D56" s="173"/>
      <c r="E56" s="172">
        <v>5</v>
      </c>
      <c r="F56" s="173"/>
      <c r="G56" s="75">
        <v>3</v>
      </c>
      <c r="H56" s="75">
        <v>3</v>
      </c>
    </row>
    <row r="57" spans="2:8" x14ac:dyDescent="0.3">
      <c r="B57" s="14"/>
      <c r="C57" s="14"/>
      <c r="D57" s="14"/>
      <c r="E57" s="14"/>
      <c r="F57" s="14"/>
      <c r="G57" s="14"/>
      <c r="H57" s="14"/>
    </row>
  </sheetData>
  <sheetProtection formatCells="0" formatColumns="0" formatRows="0" insertColumns="0" insertRows="0" insertHyperlinks="0" deleteColumns="0" deleteRows="0" sort="0" autoFilter="0" pivotTables="0"/>
  <mergeCells count="77">
    <mergeCell ref="E33:F33"/>
    <mergeCell ref="E32:F32"/>
    <mergeCell ref="E31:F31"/>
    <mergeCell ref="E30:F30"/>
    <mergeCell ref="E29:F29"/>
    <mergeCell ref="E38:F38"/>
    <mergeCell ref="E37:F37"/>
    <mergeCell ref="E36:F36"/>
    <mergeCell ref="E35:F35"/>
    <mergeCell ref="E34:F34"/>
    <mergeCell ref="E43:F43"/>
    <mergeCell ref="E42:F42"/>
    <mergeCell ref="E41:F41"/>
    <mergeCell ref="E40:F40"/>
    <mergeCell ref="E39:F39"/>
    <mergeCell ref="E48:F48"/>
    <mergeCell ref="E47:F47"/>
    <mergeCell ref="E46:F46"/>
    <mergeCell ref="E45:F45"/>
    <mergeCell ref="E44:F44"/>
    <mergeCell ref="E53:F53"/>
    <mergeCell ref="E52:F52"/>
    <mergeCell ref="E51:F51"/>
    <mergeCell ref="E50:F50"/>
    <mergeCell ref="E49:F49"/>
    <mergeCell ref="C54:D54"/>
    <mergeCell ref="C55:D55"/>
    <mergeCell ref="C56:D56"/>
    <mergeCell ref="E56:F56"/>
    <mergeCell ref="E55:F55"/>
    <mergeCell ref="E54:F54"/>
    <mergeCell ref="C49:D49"/>
    <mergeCell ref="C50:D50"/>
    <mergeCell ref="C51:D51"/>
    <mergeCell ref="C53:D53"/>
    <mergeCell ref="C52:D52"/>
    <mergeCell ref="C44:D44"/>
    <mergeCell ref="C45:D45"/>
    <mergeCell ref="C46:D46"/>
    <mergeCell ref="C47:D47"/>
    <mergeCell ref="C48:D48"/>
    <mergeCell ref="C39:D39"/>
    <mergeCell ref="C40:D40"/>
    <mergeCell ref="C41:D41"/>
    <mergeCell ref="C42:D42"/>
    <mergeCell ref="C43:D43"/>
    <mergeCell ref="C34:D34"/>
    <mergeCell ref="C35:D35"/>
    <mergeCell ref="C36:D36"/>
    <mergeCell ref="C38:D38"/>
    <mergeCell ref="C37:D37"/>
    <mergeCell ref="C29:D29"/>
    <mergeCell ref="C30:D30"/>
    <mergeCell ref="C31:D31"/>
    <mergeCell ref="C32:D32"/>
    <mergeCell ref="C33:D33"/>
    <mergeCell ref="B25:H25"/>
    <mergeCell ref="C26:F26"/>
    <mergeCell ref="B27:B28"/>
    <mergeCell ref="C27:D27"/>
    <mergeCell ref="E27:F27"/>
    <mergeCell ref="G26:H26"/>
    <mergeCell ref="E28:F28"/>
    <mergeCell ref="C28:D28"/>
    <mergeCell ref="B20:E21"/>
    <mergeCell ref="F20:H20"/>
    <mergeCell ref="B22:E22"/>
    <mergeCell ref="B23:E23"/>
    <mergeCell ref="A7:O7"/>
    <mergeCell ref="A15:O15"/>
    <mergeCell ref="H5:K5"/>
    <mergeCell ref="L5:O5"/>
    <mergeCell ref="A5:A6"/>
    <mergeCell ref="B5:B6"/>
    <mergeCell ref="C5:C6"/>
    <mergeCell ref="D5:F5"/>
    <mergeCell ref="G5:G6"/>
  </mergeCells>
  <pageMargins left="0.70866141732283472" right="0.70866141732283472" top="0.74803149606299213" bottom="0.74803149606299213" header="0.31496062992125984" footer="0.31496062992125984"/>
  <pageSetup paperSize="9" scale="74" fitToWidth="2" fitToHeight="2" orientation="landscape" r:id="rId1"/>
  <rowBreaks count="1" manualBreakCount="1">
    <brk id="24" max="1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P63"/>
  <sheetViews>
    <sheetView tabSelected="1" view="pageBreakPreview" zoomScale="80" zoomScaleNormal="100" zoomScaleSheetLayoutView="80" workbookViewId="0">
      <selection activeCell="J6" sqref="J6"/>
    </sheetView>
  </sheetViews>
  <sheetFormatPr defaultRowHeight="14.4" x14ac:dyDescent="0.3"/>
  <cols>
    <col min="2" max="2" width="37.109375" bestFit="1" customWidth="1"/>
    <col min="6" max="6" width="10.33203125" customWidth="1"/>
    <col min="7" max="7" width="20.44140625" customWidth="1"/>
    <col min="8" max="8" width="11.44140625" customWidth="1"/>
    <col min="9" max="9" width="12.109375" customWidth="1"/>
    <col min="10" max="10" width="14.33203125" customWidth="1"/>
    <col min="12" max="13" width="10" bestFit="1" customWidth="1"/>
  </cols>
  <sheetData>
    <row r="1" spans="1:16" ht="15.6" x14ac:dyDescent="0.3">
      <c r="A1" s="9" t="s">
        <v>30</v>
      </c>
      <c r="B1" s="8" t="s">
        <v>41</v>
      </c>
    </row>
    <row r="2" spans="1:16" ht="22.5" customHeight="1" x14ac:dyDescent="0.3">
      <c r="A2" s="9" t="s">
        <v>32</v>
      </c>
      <c r="B2" s="8" t="s">
        <v>54</v>
      </c>
    </row>
    <row r="3" spans="1:16" ht="15.6" x14ac:dyDescent="0.3">
      <c r="A3" s="9" t="s">
        <v>34</v>
      </c>
      <c r="B3" s="8" t="s">
        <v>35</v>
      </c>
    </row>
    <row r="4" spans="1:16" ht="47.25" customHeight="1" x14ac:dyDescent="0.3">
      <c r="A4" s="9" t="s">
        <v>36</v>
      </c>
      <c r="B4" s="8" t="s">
        <v>37</v>
      </c>
    </row>
    <row r="5" spans="1:16" ht="15.6" x14ac:dyDescent="0.3">
      <c r="A5" s="253" t="s">
        <v>25</v>
      </c>
      <c r="B5" s="253" t="s">
        <v>20</v>
      </c>
      <c r="C5" s="253" t="s">
        <v>23</v>
      </c>
      <c r="D5" s="250" t="s">
        <v>28</v>
      </c>
      <c r="E5" s="251"/>
      <c r="F5" s="252"/>
      <c r="G5" s="253" t="s">
        <v>0</v>
      </c>
      <c r="H5" s="250" t="s">
        <v>27</v>
      </c>
      <c r="I5" s="251"/>
      <c r="J5" s="251"/>
      <c r="K5" s="252"/>
      <c r="L5" s="250" t="s">
        <v>26</v>
      </c>
      <c r="M5" s="251"/>
      <c r="N5" s="251"/>
      <c r="O5" s="252"/>
    </row>
    <row r="6" spans="1:16" ht="15.6" x14ac:dyDescent="0.3">
      <c r="A6" s="254"/>
      <c r="B6" s="255"/>
      <c r="C6" s="256"/>
      <c r="D6" s="5" t="s">
        <v>1</v>
      </c>
      <c r="E6" s="5" t="s">
        <v>2</v>
      </c>
      <c r="F6" s="5" t="s">
        <v>3</v>
      </c>
      <c r="G6" s="254"/>
      <c r="H6" s="5" t="s">
        <v>19</v>
      </c>
      <c r="I6" s="5" t="s">
        <v>4</v>
      </c>
      <c r="J6" s="5" t="s">
        <v>5</v>
      </c>
      <c r="K6" s="5" t="s">
        <v>6</v>
      </c>
      <c r="L6" s="5" t="s">
        <v>7</v>
      </c>
      <c r="M6" s="5" t="s">
        <v>122</v>
      </c>
      <c r="N6" s="5" t="s">
        <v>9</v>
      </c>
      <c r="O6" s="5" t="s">
        <v>10</v>
      </c>
    </row>
    <row r="7" spans="1:16" s="24" customFormat="1" ht="18" x14ac:dyDescent="0.3">
      <c r="A7" s="260" t="s">
        <v>22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55"/>
    </row>
    <row r="8" spans="1:16" s="23" customFormat="1" ht="27.6" x14ac:dyDescent="0.3">
      <c r="A8" s="135">
        <v>65</v>
      </c>
      <c r="B8" s="6" t="s">
        <v>108</v>
      </c>
      <c r="C8" s="135">
        <v>250</v>
      </c>
      <c r="D8" s="12">
        <v>7.3</v>
      </c>
      <c r="E8" s="12">
        <v>4.4000000000000004</v>
      </c>
      <c r="F8" s="12">
        <v>30.8</v>
      </c>
      <c r="G8" s="12">
        <v>204</v>
      </c>
      <c r="H8" s="12">
        <v>0.2</v>
      </c>
      <c r="I8" s="12">
        <v>4.66</v>
      </c>
      <c r="J8" s="12">
        <v>0.08</v>
      </c>
      <c r="K8" s="12">
        <v>0</v>
      </c>
      <c r="L8" s="12">
        <v>38.299999999999997</v>
      </c>
      <c r="M8" s="12">
        <v>0</v>
      </c>
      <c r="N8" s="12">
        <v>42.23</v>
      </c>
      <c r="O8" s="12">
        <v>2.23</v>
      </c>
    </row>
    <row r="9" spans="1:16" s="144" customFormat="1" x14ac:dyDescent="0.3">
      <c r="A9" s="142">
        <v>138</v>
      </c>
      <c r="B9" s="137" t="s">
        <v>133</v>
      </c>
      <c r="C9" s="142">
        <v>200</v>
      </c>
      <c r="D9" s="143">
        <v>18.2</v>
      </c>
      <c r="E9" s="143">
        <v>23.2</v>
      </c>
      <c r="F9" s="143">
        <v>32.200000000000003</v>
      </c>
      <c r="G9" s="143">
        <v>417</v>
      </c>
      <c r="H9" s="143">
        <v>0.06</v>
      </c>
      <c r="I9" s="143">
        <v>0.61</v>
      </c>
      <c r="J9" s="143"/>
      <c r="K9" s="143">
        <v>0</v>
      </c>
      <c r="L9" s="143">
        <v>20</v>
      </c>
      <c r="M9" s="143">
        <v>0.09</v>
      </c>
      <c r="N9" s="143">
        <v>37.549999999999997</v>
      </c>
      <c r="O9" s="143">
        <v>1.67</v>
      </c>
    </row>
    <row r="10" spans="1:16" s="41" customFormat="1" ht="13.8" x14ac:dyDescent="0.3">
      <c r="A10" s="40">
        <v>300</v>
      </c>
      <c r="B10" s="6" t="s">
        <v>123</v>
      </c>
      <c r="C10" s="40">
        <v>200</v>
      </c>
      <c r="D10" s="92">
        <v>0.2</v>
      </c>
      <c r="E10" s="91">
        <v>0</v>
      </c>
      <c r="F10" s="92">
        <v>9.1</v>
      </c>
      <c r="G10" s="91">
        <v>36</v>
      </c>
      <c r="H10" s="92">
        <v>0</v>
      </c>
      <c r="I10" s="91">
        <v>0</v>
      </c>
      <c r="J10" s="92">
        <v>0</v>
      </c>
      <c r="K10" s="91">
        <v>0</v>
      </c>
      <c r="L10" s="92">
        <v>0.26</v>
      </c>
      <c r="M10" s="91">
        <v>0</v>
      </c>
      <c r="N10" s="92">
        <v>0</v>
      </c>
      <c r="O10" s="93">
        <v>0.03</v>
      </c>
    </row>
    <row r="11" spans="1:16" s="10" customFormat="1" x14ac:dyDescent="0.3">
      <c r="A11" s="150">
        <v>1.5</v>
      </c>
      <c r="B11" s="6" t="s">
        <v>14</v>
      </c>
      <c r="C11" s="135">
        <v>50</v>
      </c>
      <c r="D11" s="12">
        <v>2.2400000000000002</v>
      </c>
      <c r="E11" s="12">
        <v>0.88</v>
      </c>
      <c r="F11" s="12">
        <v>19.760000000000002</v>
      </c>
      <c r="G11" s="12">
        <v>91.96</v>
      </c>
      <c r="H11" s="12">
        <v>0.04</v>
      </c>
      <c r="I11" s="12"/>
      <c r="J11" s="12"/>
      <c r="K11" s="12">
        <v>0.36</v>
      </c>
      <c r="L11" s="12">
        <v>9.1999999999999993</v>
      </c>
      <c r="M11" s="12">
        <v>42.4</v>
      </c>
      <c r="N11" s="12">
        <v>10</v>
      </c>
      <c r="O11" s="12">
        <v>1.24</v>
      </c>
    </row>
    <row r="12" spans="1:16" s="10" customFormat="1" x14ac:dyDescent="0.3">
      <c r="A12" s="135">
        <v>1.6</v>
      </c>
      <c r="B12" s="6" t="s">
        <v>60</v>
      </c>
      <c r="C12" s="135">
        <v>50</v>
      </c>
      <c r="D12" s="12">
        <v>3.16</v>
      </c>
      <c r="E12" s="12">
        <v>0.4</v>
      </c>
      <c r="F12" s="12">
        <v>19.32</v>
      </c>
      <c r="G12" s="12">
        <v>93.52</v>
      </c>
      <c r="H12" s="12">
        <v>0.04</v>
      </c>
      <c r="I12" s="12"/>
      <c r="J12" s="12"/>
      <c r="K12" s="12">
        <v>0.52</v>
      </c>
      <c r="L12" s="12">
        <v>9.1999999999999993</v>
      </c>
      <c r="M12" s="12">
        <v>34.799999999999997</v>
      </c>
      <c r="N12" s="12">
        <v>13.2</v>
      </c>
      <c r="O12" s="12">
        <v>0.44</v>
      </c>
    </row>
    <row r="13" spans="1:16" s="24" customFormat="1" ht="16.2" customHeight="1" x14ac:dyDescent="0.3">
      <c r="A13" s="94" t="s">
        <v>11</v>
      </c>
      <c r="B13" s="95"/>
      <c r="C13" s="95"/>
      <c r="D13" s="108">
        <f>SUM(D8:D12)</f>
        <v>31.099999999999998</v>
      </c>
      <c r="E13" s="108">
        <f>SUM(E8:E12)</f>
        <v>28.88</v>
      </c>
      <c r="F13" s="108">
        <f>SUM(F8:F12)</f>
        <v>111.18</v>
      </c>
      <c r="G13" s="108">
        <f>SUM(G8:G12)</f>
        <v>842.48</v>
      </c>
      <c r="H13" s="108"/>
      <c r="I13" s="108"/>
      <c r="J13" s="108"/>
      <c r="K13" s="108"/>
      <c r="L13" s="108"/>
      <c r="M13" s="108"/>
      <c r="N13" s="108"/>
      <c r="O13" s="108"/>
    </row>
    <row r="14" spans="1:16" s="24" customFormat="1" ht="16.2" customHeight="1" x14ac:dyDescent="0.3">
      <c r="A14" s="243" t="s">
        <v>21</v>
      </c>
      <c r="B14" s="244"/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5"/>
      <c r="P14" s="55"/>
    </row>
    <row r="15" spans="1:16" s="41" customFormat="1" ht="13.8" x14ac:dyDescent="0.3">
      <c r="A15" s="40"/>
      <c r="B15" s="30" t="s">
        <v>100</v>
      </c>
      <c r="C15" s="40">
        <v>100</v>
      </c>
      <c r="D15" s="121">
        <v>8.5</v>
      </c>
      <c r="E15" s="120">
        <v>11.3</v>
      </c>
      <c r="F15" s="121">
        <v>69.7</v>
      </c>
      <c r="G15" s="121">
        <v>414.5</v>
      </c>
      <c r="H15" s="121">
        <v>0.1</v>
      </c>
      <c r="I15" s="121"/>
      <c r="J15" s="121">
        <v>65</v>
      </c>
      <c r="K15" s="121">
        <v>1.3</v>
      </c>
      <c r="L15" s="121">
        <v>41</v>
      </c>
      <c r="M15" s="121">
        <v>87</v>
      </c>
      <c r="N15" s="121">
        <v>15</v>
      </c>
      <c r="O15" s="121">
        <v>1</v>
      </c>
    </row>
    <row r="16" spans="1:16" s="23" customFormat="1" ht="18.75" customHeight="1" x14ac:dyDescent="0.3">
      <c r="A16" s="135">
        <v>338</v>
      </c>
      <c r="B16" s="6" t="s">
        <v>17</v>
      </c>
      <c r="C16" s="135">
        <v>150</v>
      </c>
      <c r="D16" s="12">
        <v>0.4</v>
      </c>
      <c r="E16" s="12">
        <v>0.4</v>
      </c>
      <c r="F16" s="12">
        <v>9.8000000000000007</v>
      </c>
      <c r="G16" s="12">
        <v>47</v>
      </c>
      <c r="H16" s="12">
        <v>0.03</v>
      </c>
      <c r="I16" s="12">
        <v>10</v>
      </c>
      <c r="J16" s="12"/>
      <c r="K16" s="12">
        <v>0.2</v>
      </c>
      <c r="L16" s="12">
        <v>16</v>
      </c>
      <c r="M16" s="12">
        <v>11</v>
      </c>
      <c r="N16" s="12">
        <v>9</v>
      </c>
      <c r="O16" s="12">
        <v>2.2000000000000002</v>
      </c>
    </row>
    <row r="17" spans="1:15" s="24" customFormat="1" ht="16.2" customHeight="1" x14ac:dyDescent="0.3">
      <c r="A17" s="94" t="s">
        <v>11</v>
      </c>
      <c r="B17" s="95"/>
      <c r="C17" s="95"/>
      <c r="D17" s="108">
        <f>SUM(D15:D16)</f>
        <v>8.9</v>
      </c>
      <c r="E17" s="108">
        <f>SUM(E15:E16)</f>
        <v>11.700000000000001</v>
      </c>
      <c r="F17" s="108">
        <f>SUM(F15:F16)</f>
        <v>79.5</v>
      </c>
      <c r="G17" s="108">
        <f>SUM(G15:G16)</f>
        <v>461.5</v>
      </c>
      <c r="H17" s="108"/>
      <c r="I17" s="108"/>
      <c r="J17" s="108"/>
      <c r="K17" s="108"/>
      <c r="L17" s="108"/>
      <c r="M17" s="108"/>
      <c r="N17" s="108"/>
      <c r="O17" s="108"/>
    </row>
    <row r="18" spans="1:15" s="24" customFormat="1" ht="16.2" customHeight="1" x14ac:dyDescent="0.3">
      <c r="A18" s="94" t="s">
        <v>15</v>
      </c>
      <c r="B18" s="95"/>
      <c r="C18" s="95"/>
      <c r="D18" s="97">
        <f>SUM(D13,D17)</f>
        <v>40</v>
      </c>
      <c r="E18" s="97">
        <f>SUM(E13,E17)</f>
        <v>40.58</v>
      </c>
      <c r="F18" s="97">
        <f>SUM(F13,F17)</f>
        <v>190.68</v>
      </c>
      <c r="G18" s="97">
        <f>SUM(G13,G17)</f>
        <v>1303.98</v>
      </c>
      <c r="H18" s="110"/>
      <c r="I18" s="110"/>
      <c r="J18" s="110"/>
      <c r="K18" s="110"/>
      <c r="L18" s="110"/>
      <c r="M18" s="118"/>
      <c r="N18" s="118"/>
      <c r="O18" s="109"/>
    </row>
    <row r="19" spans="1:15" ht="15" thickBot="1" x14ac:dyDescent="0.35">
      <c r="G19" s="45"/>
    </row>
    <row r="20" spans="1:15" ht="27" thickBot="1" x14ac:dyDescent="0.35">
      <c r="B20" s="188" t="s">
        <v>44</v>
      </c>
      <c r="C20" s="189"/>
      <c r="D20" s="189"/>
      <c r="E20" s="189"/>
      <c r="F20" s="192" t="s">
        <v>45</v>
      </c>
      <c r="G20" s="193"/>
      <c r="H20" s="194"/>
      <c r="I20" s="33" t="s">
        <v>46</v>
      </c>
    </row>
    <row r="21" spans="1:15" ht="15" thickBot="1" x14ac:dyDescent="0.35">
      <c r="B21" s="190"/>
      <c r="C21" s="191"/>
      <c r="D21" s="191"/>
      <c r="E21" s="191"/>
      <c r="F21" s="34" t="s">
        <v>1</v>
      </c>
      <c r="G21" s="34" t="s">
        <v>2</v>
      </c>
      <c r="H21" s="34" t="s">
        <v>3</v>
      </c>
      <c r="I21" s="35"/>
    </row>
    <row r="22" spans="1:15" ht="15" thickBot="1" x14ac:dyDescent="0.35">
      <c r="B22" s="165" t="s">
        <v>48</v>
      </c>
      <c r="C22" s="166"/>
      <c r="D22" s="166"/>
      <c r="E22" s="166"/>
      <c r="F22" s="34" t="s">
        <v>49</v>
      </c>
      <c r="G22" s="34" t="s">
        <v>50</v>
      </c>
      <c r="H22" s="34" t="s">
        <v>51</v>
      </c>
      <c r="I22" s="34" t="s">
        <v>104</v>
      </c>
    </row>
    <row r="23" spans="1:15" ht="15" thickBot="1" x14ac:dyDescent="0.35">
      <c r="B23" s="165" t="s">
        <v>47</v>
      </c>
      <c r="C23" s="166"/>
      <c r="D23" s="166"/>
      <c r="E23" s="166"/>
      <c r="F23" s="36">
        <f>D18</f>
        <v>40</v>
      </c>
      <c r="G23" s="36">
        <f>E18</f>
        <v>40.58</v>
      </c>
      <c r="H23" s="36">
        <f>F18</f>
        <v>190.68</v>
      </c>
      <c r="I23" s="36">
        <f>G18</f>
        <v>1303.98</v>
      </c>
    </row>
    <row r="25" spans="1:15" ht="41.25" customHeight="1" x14ac:dyDescent="0.3">
      <c r="B25" s="185" t="s">
        <v>93</v>
      </c>
      <c r="C25" s="185"/>
      <c r="D25" s="185"/>
      <c r="E25" s="185"/>
      <c r="F25" s="185"/>
      <c r="G25" s="185"/>
      <c r="H25" s="185"/>
    </row>
    <row r="26" spans="1:15" ht="33.75" customHeight="1" x14ac:dyDescent="0.3">
      <c r="B26" s="73" t="s">
        <v>55</v>
      </c>
      <c r="C26" s="180" t="s">
        <v>56</v>
      </c>
      <c r="D26" s="180"/>
      <c r="E26" s="180"/>
      <c r="F26" s="180"/>
      <c r="G26" s="186" t="s">
        <v>94</v>
      </c>
      <c r="H26" s="187"/>
      <c r="J26" s="9" t="s">
        <v>30</v>
      </c>
      <c r="K26" s="8" t="s">
        <v>41</v>
      </c>
    </row>
    <row r="27" spans="1:15" ht="15.6" x14ac:dyDescent="0.3">
      <c r="B27" s="183"/>
      <c r="C27" s="181" t="s">
        <v>57</v>
      </c>
      <c r="D27" s="182"/>
      <c r="E27" s="181" t="s">
        <v>58</v>
      </c>
      <c r="F27" s="182"/>
      <c r="G27" s="73" t="s">
        <v>57</v>
      </c>
      <c r="H27" s="73" t="s">
        <v>58</v>
      </c>
      <c r="J27" s="9" t="s">
        <v>32</v>
      </c>
      <c r="K27" s="8" t="s">
        <v>54</v>
      </c>
    </row>
    <row r="28" spans="1:15" ht="28.8" x14ac:dyDescent="0.3">
      <c r="B28" s="184"/>
      <c r="C28" s="181" t="s">
        <v>37</v>
      </c>
      <c r="D28" s="182"/>
      <c r="E28" s="181" t="s">
        <v>37</v>
      </c>
      <c r="F28" s="182"/>
      <c r="G28" s="73" t="s">
        <v>37</v>
      </c>
      <c r="H28" s="73" t="s">
        <v>37</v>
      </c>
      <c r="J28" s="9" t="s">
        <v>34</v>
      </c>
      <c r="K28" s="8" t="s">
        <v>35</v>
      </c>
    </row>
    <row r="29" spans="1:15" ht="51.75" customHeight="1" x14ac:dyDescent="0.3">
      <c r="B29" s="74" t="s">
        <v>59</v>
      </c>
      <c r="C29" s="172">
        <v>80</v>
      </c>
      <c r="D29" s="173"/>
      <c r="E29" s="172">
        <v>80</v>
      </c>
      <c r="F29" s="173"/>
      <c r="G29" s="75">
        <v>40</v>
      </c>
      <c r="H29" s="75">
        <v>40</v>
      </c>
      <c r="J29" s="9" t="s">
        <v>36</v>
      </c>
      <c r="K29" s="8" t="s">
        <v>37</v>
      </c>
    </row>
    <row r="30" spans="1:15" x14ac:dyDescent="0.3">
      <c r="B30" s="74" t="s">
        <v>60</v>
      </c>
      <c r="C30" s="172">
        <v>150</v>
      </c>
      <c r="D30" s="173"/>
      <c r="E30" s="172">
        <v>150</v>
      </c>
      <c r="F30" s="173"/>
      <c r="G30" s="75">
        <v>90</v>
      </c>
      <c r="H30" s="75">
        <v>90</v>
      </c>
    </row>
    <row r="31" spans="1:15" ht="36.75" customHeight="1" x14ac:dyDescent="0.3">
      <c r="B31" s="74" t="s">
        <v>61</v>
      </c>
      <c r="C31" s="172">
        <v>15</v>
      </c>
      <c r="D31" s="173"/>
      <c r="E31" s="172">
        <v>15</v>
      </c>
      <c r="F31" s="173"/>
      <c r="G31" s="75">
        <v>35.700000000000003</v>
      </c>
      <c r="H31" s="75">
        <v>35.700000000000003</v>
      </c>
    </row>
    <row r="32" spans="1:15" ht="21.75" customHeight="1" x14ac:dyDescent="0.3">
      <c r="B32" s="76" t="s">
        <v>62</v>
      </c>
      <c r="C32" s="174">
        <v>45</v>
      </c>
      <c r="D32" s="175"/>
      <c r="E32" s="174">
        <v>45</v>
      </c>
      <c r="F32" s="175"/>
      <c r="G32" s="77">
        <v>31</v>
      </c>
      <c r="H32" s="77">
        <v>31</v>
      </c>
    </row>
    <row r="33" spans="2:8" x14ac:dyDescent="0.3">
      <c r="B33" s="74" t="s">
        <v>63</v>
      </c>
      <c r="C33" s="172">
        <v>15</v>
      </c>
      <c r="D33" s="173"/>
      <c r="E33" s="172">
        <v>15</v>
      </c>
      <c r="F33" s="173"/>
      <c r="G33" s="75">
        <v>10</v>
      </c>
      <c r="H33" s="75">
        <v>10</v>
      </c>
    </row>
    <row r="34" spans="2:8" x14ac:dyDescent="0.3">
      <c r="B34" s="74" t="s">
        <v>64</v>
      </c>
      <c r="C34" s="172" t="s">
        <v>65</v>
      </c>
      <c r="D34" s="173"/>
      <c r="E34" s="195">
        <v>188</v>
      </c>
      <c r="F34" s="196"/>
      <c r="G34" s="75">
        <f>28.9+53.4+171</f>
        <v>253.3</v>
      </c>
      <c r="H34" s="75">
        <f>21+40+129</f>
        <v>190</v>
      </c>
    </row>
    <row r="35" spans="2:8" x14ac:dyDescent="0.3">
      <c r="B35" s="74" t="s">
        <v>66</v>
      </c>
      <c r="C35" s="172">
        <v>350</v>
      </c>
      <c r="D35" s="173"/>
      <c r="E35" s="172" t="s">
        <v>67</v>
      </c>
      <c r="F35" s="173"/>
      <c r="G35" s="75">
        <f>19.1+12.6+18.8+21.4+18.8+10+9.6+2+5+3</f>
        <v>120.3</v>
      </c>
      <c r="H35" s="90">
        <f>15+10+7.5+15+15+8+8+4+4+2</f>
        <v>88.5</v>
      </c>
    </row>
    <row r="36" spans="2:8" x14ac:dyDescent="0.3">
      <c r="B36" s="74" t="s">
        <v>68</v>
      </c>
      <c r="C36" s="172">
        <v>200</v>
      </c>
      <c r="D36" s="173"/>
      <c r="E36" s="172" t="s">
        <v>69</v>
      </c>
      <c r="F36" s="173"/>
      <c r="G36" s="75">
        <v>100</v>
      </c>
      <c r="H36" s="75">
        <v>100</v>
      </c>
    </row>
    <row r="37" spans="2:8" x14ac:dyDescent="0.3">
      <c r="B37" s="74" t="s">
        <v>70</v>
      </c>
      <c r="C37" s="172">
        <v>15</v>
      </c>
      <c r="D37" s="173"/>
      <c r="E37" s="172">
        <v>15</v>
      </c>
      <c r="F37" s="173"/>
      <c r="G37" s="75">
        <v>20.100000000000001</v>
      </c>
      <c r="H37" s="75">
        <v>20.100000000000001</v>
      </c>
    </row>
    <row r="38" spans="2:8" ht="26.4" x14ac:dyDescent="0.3">
      <c r="B38" s="74" t="s">
        <v>71</v>
      </c>
      <c r="C38" s="172">
        <v>200</v>
      </c>
      <c r="D38" s="173"/>
      <c r="E38" s="172">
        <v>200</v>
      </c>
      <c r="F38" s="173"/>
      <c r="G38" s="75"/>
      <c r="H38" s="75"/>
    </row>
    <row r="39" spans="2:8" x14ac:dyDescent="0.3">
      <c r="B39" s="74" t="s">
        <v>72</v>
      </c>
      <c r="C39" s="172" t="s">
        <v>73</v>
      </c>
      <c r="D39" s="173"/>
      <c r="E39" s="172">
        <v>70</v>
      </c>
      <c r="F39" s="173"/>
      <c r="G39" s="75"/>
      <c r="H39" s="75"/>
    </row>
    <row r="40" spans="2:8" ht="26.4" x14ac:dyDescent="0.3">
      <c r="B40" s="74" t="s">
        <v>74</v>
      </c>
      <c r="C40" s="172" t="s">
        <v>75</v>
      </c>
      <c r="D40" s="173"/>
      <c r="E40" s="172">
        <v>35</v>
      </c>
      <c r="F40" s="173"/>
      <c r="G40" s="75">
        <f>142+40</f>
        <v>182</v>
      </c>
      <c r="H40" s="75">
        <f>128+25</f>
        <v>153</v>
      </c>
    </row>
    <row r="41" spans="2:8" x14ac:dyDescent="0.3">
      <c r="B41" s="74" t="s">
        <v>76</v>
      </c>
      <c r="C41" s="172">
        <v>60</v>
      </c>
      <c r="D41" s="173"/>
      <c r="E41" s="172">
        <v>58</v>
      </c>
      <c r="F41" s="173"/>
      <c r="G41" s="75"/>
      <c r="H41" s="75"/>
    </row>
    <row r="42" spans="2:8" x14ac:dyDescent="0.3">
      <c r="B42" s="74" t="s">
        <v>77</v>
      </c>
      <c r="C42" s="172">
        <v>15</v>
      </c>
      <c r="D42" s="173"/>
      <c r="E42" s="172">
        <v>14.7</v>
      </c>
      <c r="F42" s="173"/>
      <c r="G42" s="75"/>
      <c r="H42" s="75"/>
    </row>
    <row r="43" spans="2:8" x14ac:dyDescent="0.3">
      <c r="B43" s="74" t="s">
        <v>78</v>
      </c>
      <c r="C43" s="172">
        <v>300</v>
      </c>
      <c r="D43" s="173"/>
      <c r="E43" s="172">
        <v>300</v>
      </c>
      <c r="F43" s="173"/>
      <c r="G43" s="75">
        <f>211+24+100+100</f>
        <v>435</v>
      </c>
      <c r="H43" s="75">
        <f>22.5+200+200+24</f>
        <v>446.5</v>
      </c>
    </row>
    <row r="44" spans="2:8" ht="26.4" x14ac:dyDescent="0.3">
      <c r="B44" s="74" t="s">
        <v>79</v>
      </c>
      <c r="C44" s="172">
        <v>150</v>
      </c>
      <c r="D44" s="173"/>
      <c r="E44" s="172">
        <v>150</v>
      </c>
      <c r="F44" s="173"/>
      <c r="G44" s="75"/>
      <c r="H44" s="75"/>
    </row>
    <row r="45" spans="2:8" x14ac:dyDescent="0.3">
      <c r="B45" s="74" t="s">
        <v>80</v>
      </c>
      <c r="C45" s="172">
        <v>50</v>
      </c>
      <c r="D45" s="173"/>
      <c r="E45" s="172">
        <v>50</v>
      </c>
      <c r="F45" s="173"/>
      <c r="G45" s="75"/>
      <c r="H45" s="75"/>
    </row>
    <row r="46" spans="2:8" x14ac:dyDescent="0.3">
      <c r="B46" s="74" t="s">
        <v>81</v>
      </c>
      <c r="C46" s="172">
        <v>10</v>
      </c>
      <c r="D46" s="173"/>
      <c r="E46" s="172">
        <v>9.8000000000000007</v>
      </c>
      <c r="F46" s="173"/>
      <c r="G46" s="75"/>
      <c r="H46" s="90"/>
    </row>
    <row r="47" spans="2:8" x14ac:dyDescent="0.3">
      <c r="B47" s="74" t="s">
        <v>82</v>
      </c>
      <c r="C47" s="172">
        <v>10</v>
      </c>
      <c r="D47" s="173"/>
      <c r="E47" s="172">
        <v>10</v>
      </c>
      <c r="F47" s="173"/>
      <c r="G47" s="80"/>
      <c r="H47" s="80"/>
    </row>
    <row r="48" spans="2:8" x14ac:dyDescent="0.3">
      <c r="B48" s="74" t="s">
        <v>83</v>
      </c>
      <c r="C48" s="172">
        <v>30</v>
      </c>
      <c r="D48" s="173"/>
      <c r="E48" s="172">
        <v>30</v>
      </c>
      <c r="F48" s="173"/>
      <c r="G48" s="75">
        <f>0.5+5.25+10+10</f>
        <v>25.75</v>
      </c>
      <c r="H48" s="75">
        <v>25.75</v>
      </c>
    </row>
    <row r="49" spans="2:8" x14ac:dyDescent="0.3">
      <c r="B49" s="74" t="s">
        <v>84</v>
      </c>
      <c r="C49" s="172">
        <v>15</v>
      </c>
      <c r="D49" s="173"/>
      <c r="E49" s="172">
        <v>15</v>
      </c>
      <c r="F49" s="173"/>
      <c r="G49" s="75">
        <v>10</v>
      </c>
      <c r="H49" s="75">
        <v>10</v>
      </c>
    </row>
    <row r="50" spans="2:8" x14ac:dyDescent="0.3">
      <c r="B50" s="74" t="s">
        <v>85</v>
      </c>
      <c r="C50" s="172" t="s">
        <v>86</v>
      </c>
      <c r="D50" s="173"/>
      <c r="E50" s="172">
        <v>40</v>
      </c>
      <c r="F50" s="173"/>
      <c r="G50" s="75">
        <v>2.1</v>
      </c>
      <c r="H50" s="75">
        <v>2.1</v>
      </c>
    </row>
    <row r="51" spans="2:8" x14ac:dyDescent="0.3">
      <c r="B51" s="74" t="s">
        <v>87</v>
      </c>
      <c r="C51" s="172">
        <v>40</v>
      </c>
      <c r="D51" s="173"/>
      <c r="E51" s="195">
        <v>40</v>
      </c>
      <c r="F51" s="196"/>
      <c r="G51" s="75">
        <f>46.36</f>
        <v>46.36</v>
      </c>
      <c r="H51" s="75">
        <v>46.36</v>
      </c>
    </row>
    <row r="52" spans="2:8" x14ac:dyDescent="0.3">
      <c r="B52" s="74" t="s">
        <v>88</v>
      </c>
      <c r="C52" s="195">
        <v>10</v>
      </c>
      <c r="D52" s="196"/>
      <c r="E52" s="172">
        <v>10</v>
      </c>
      <c r="F52" s="173"/>
      <c r="G52" s="75"/>
      <c r="H52" s="75"/>
    </row>
    <row r="53" spans="2:8" x14ac:dyDescent="0.3">
      <c r="B53" s="74" t="s">
        <v>89</v>
      </c>
      <c r="C53" s="172">
        <v>0.4</v>
      </c>
      <c r="D53" s="173"/>
      <c r="E53" s="172">
        <v>0.4</v>
      </c>
      <c r="F53" s="173"/>
      <c r="G53" s="75"/>
      <c r="H53" s="75"/>
    </row>
    <row r="54" spans="2:8" x14ac:dyDescent="0.3">
      <c r="B54" s="74" t="s">
        <v>90</v>
      </c>
      <c r="C54" s="172">
        <v>1.2</v>
      </c>
      <c r="D54" s="173"/>
      <c r="E54" s="172">
        <v>1.2</v>
      </c>
      <c r="F54" s="173"/>
      <c r="G54" s="75">
        <v>4</v>
      </c>
      <c r="H54" s="75">
        <v>4</v>
      </c>
    </row>
    <row r="55" spans="2:8" x14ac:dyDescent="0.3">
      <c r="B55" s="74" t="s">
        <v>91</v>
      </c>
      <c r="C55" s="172">
        <v>1</v>
      </c>
      <c r="D55" s="173"/>
      <c r="E55" s="172">
        <v>1</v>
      </c>
      <c r="F55" s="173"/>
      <c r="G55" s="75">
        <v>0.1</v>
      </c>
      <c r="H55" s="75">
        <v>0.1</v>
      </c>
    </row>
    <row r="56" spans="2:8" x14ac:dyDescent="0.3">
      <c r="B56" s="74" t="s">
        <v>92</v>
      </c>
      <c r="C56" s="172">
        <v>5</v>
      </c>
      <c r="D56" s="173"/>
      <c r="E56" s="172">
        <v>5</v>
      </c>
      <c r="F56" s="173"/>
      <c r="G56" s="75">
        <v>3</v>
      </c>
      <c r="H56" s="75">
        <v>3</v>
      </c>
    </row>
    <row r="57" spans="2:8" x14ac:dyDescent="0.3">
      <c r="B57" s="44"/>
      <c r="C57" s="264"/>
      <c r="D57" s="264"/>
      <c r="E57" s="264"/>
      <c r="F57" s="264"/>
      <c r="G57" s="83"/>
      <c r="H57" s="83"/>
    </row>
    <row r="58" spans="2:8" x14ac:dyDescent="0.3">
      <c r="B58" s="44"/>
      <c r="C58" s="264"/>
      <c r="D58" s="264"/>
      <c r="E58" s="264"/>
      <c r="F58" s="264"/>
      <c r="G58" s="83"/>
      <c r="H58" s="83"/>
    </row>
    <row r="59" spans="2:8" x14ac:dyDescent="0.3">
      <c r="B59" s="44"/>
      <c r="C59" s="264"/>
      <c r="D59" s="264"/>
      <c r="E59" s="264"/>
      <c r="F59" s="264"/>
      <c r="G59" s="83"/>
      <c r="H59" s="83"/>
    </row>
    <row r="60" spans="2:8" x14ac:dyDescent="0.3">
      <c r="B60" s="44"/>
      <c r="C60" s="264"/>
      <c r="D60" s="264"/>
      <c r="E60" s="264"/>
      <c r="F60" s="264"/>
      <c r="G60" s="83"/>
      <c r="H60" s="83"/>
    </row>
    <row r="61" spans="2:8" x14ac:dyDescent="0.3">
      <c r="B61" s="44"/>
      <c r="C61" s="264"/>
      <c r="D61" s="264"/>
      <c r="E61" s="264"/>
      <c r="F61" s="264"/>
      <c r="G61" s="83"/>
      <c r="H61" s="83"/>
    </row>
    <row r="62" spans="2:8" x14ac:dyDescent="0.3">
      <c r="B62" s="44"/>
      <c r="C62" s="264"/>
      <c r="D62" s="264"/>
      <c r="E62" s="264"/>
      <c r="F62" s="264"/>
      <c r="G62" s="83"/>
      <c r="H62" s="83"/>
    </row>
    <row r="63" spans="2:8" x14ac:dyDescent="0.3">
      <c r="B63" s="14"/>
      <c r="C63" s="14"/>
      <c r="D63" s="14"/>
      <c r="E63" s="14"/>
      <c r="F63" s="14"/>
      <c r="G63" s="14"/>
      <c r="H63" s="14"/>
    </row>
  </sheetData>
  <sheetProtection formatCells="0" formatColumns="0" formatRows="0" insertColumns="0" insertRows="0" insertHyperlinks="0" deleteColumns="0" deleteRows="0" sort="0" autoFilter="0" pivotTables="0"/>
  <mergeCells count="89">
    <mergeCell ref="C29:D29"/>
    <mergeCell ref="E29:F29"/>
    <mergeCell ref="C30:D30"/>
    <mergeCell ref="E30:F30"/>
    <mergeCell ref="C31:D31"/>
    <mergeCell ref="E31:F31"/>
    <mergeCell ref="C26:F26"/>
    <mergeCell ref="G26:H26"/>
    <mergeCell ref="B27:B28"/>
    <mergeCell ref="C27:D27"/>
    <mergeCell ref="E27:F27"/>
    <mergeCell ref="C28:D28"/>
    <mergeCell ref="E28:F28"/>
    <mergeCell ref="A14:O14"/>
    <mergeCell ref="A7:O7"/>
    <mergeCell ref="E38:F38"/>
    <mergeCell ref="E37:F37"/>
    <mergeCell ref="E36:F36"/>
    <mergeCell ref="E35:F35"/>
    <mergeCell ref="E34:F34"/>
    <mergeCell ref="C35:D35"/>
    <mergeCell ref="C36:D36"/>
    <mergeCell ref="C37:D37"/>
    <mergeCell ref="C38:D38"/>
    <mergeCell ref="B20:E21"/>
    <mergeCell ref="F20:H20"/>
    <mergeCell ref="B22:E22"/>
    <mergeCell ref="B23:E23"/>
    <mergeCell ref="B25:H25"/>
    <mergeCell ref="E43:F43"/>
    <mergeCell ref="E42:F42"/>
    <mergeCell ref="E41:F41"/>
    <mergeCell ref="E40:F40"/>
    <mergeCell ref="E39:F39"/>
    <mergeCell ref="E48:F48"/>
    <mergeCell ref="E47:F47"/>
    <mergeCell ref="E46:F46"/>
    <mergeCell ref="E45:F45"/>
    <mergeCell ref="E44:F44"/>
    <mergeCell ref="E53:F53"/>
    <mergeCell ref="E52:F52"/>
    <mergeCell ref="E51:F51"/>
    <mergeCell ref="E50:F50"/>
    <mergeCell ref="E49:F49"/>
    <mergeCell ref="E59:F59"/>
    <mergeCell ref="E58:F58"/>
    <mergeCell ref="E57:F57"/>
    <mergeCell ref="E56:F56"/>
    <mergeCell ref="E54:F54"/>
    <mergeCell ref="E55:F55"/>
    <mergeCell ref="C60:D60"/>
    <mergeCell ref="C61:D61"/>
    <mergeCell ref="C62:D62"/>
    <mergeCell ref="E62:F62"/>
    <mergeCell ref="E61:F61"/>
    <mergeCell ref="E60:F60"/>
    <mergeCell ref="C55:D55"/>
    <mergeCell ref="C56:D56"/>
    <mergeCell ref="C57:D57"/>
    <mergeCell ref="C58:D58"/>
    <mergeCell ref="C59:D59"/>
    <mergeCell ref="C50:D50"/>
    <mergeCell ref="C51:D51"/>
    <mergeCell ref="C52:D52"/>
    <mergeCell ref="C53:D53"/>
    <mergeCell ref="C54:D54"/>
    <mergeCell ref="C45:D45"/>
    <mergeCell ref="C46:D46"/>
    <mergeCell ref="C47:D47"/>
    <mergeCell ref="C48:D48"/>
    <mergeCell ref="C49:D49"/>
    <mergeCell ref="C40:D40"/>
    <mergeCell ref="C41:D41"/>
    <mergeCell ref="C42:D42"/>
    <mergeCell ref="C43:D43"/>
    <mergeCell ref="C44:D44"/>
    <mergeCell ref="C39:D39"/>
    <mergeCell ref="C33:D33"/>
    <mergeCell ref="E33:F33"/>
    <mergeCell ref="C34:D34"/>
    <mergeCell ref="C32:D32"/>
    <mergeCell ref="E32:F32"/>
    <mergeCell ref="H5:K5"/>
    <mergeCell ref="L5:O5"/>
    <mergeCell ref="A5:A6"/>
    <mergeCell ref="B5:B6"/>
    <mergeCell ref="C5:C6"/>
    <mergeCell ref="D5:F5"/>
    <mergeCell ref="G5:G6"/>
  </mergeCells>
  <pageMargins left="0.23622047244094491" right="0.23622047244094491" top="0.74803149606299213" bottom="0.74803149606299213" header="0.31496062992125984" footer="0.31496062992125984"/>
  <pageSetup paperSize="9" scale="75" fitToWidth="2" fitToHeight="2" orientation="landscape" r:id="rId1"/>
  <rowBreaks count="1" manualBreakCount="1">
    <brk id="24" max="1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AI38"/>
  <sheetViews>
    <sheetView view="pageBreakPreview" zoomScaleNormal="100" zoomScaleSheetLayoutView="100" workbookViewId="0">
      <selection activeCell="L24" sqref="L24"/>
    </sheetView>
  </sheetViews>
  <sheetFormatPr defaultColWidth="9.109375" defaultRowHeight="14.4" x14ac:dyDescent="0.3"/>
  <cols>
    <col min="1" max="1" width="23.5546875" style="72" customWidth="1"/>
    <col min="2" max="5" width="9.109375" style="72"/>
    <col min="6" max="6" width="10.44140625" style="72" customWidth="1"/>
    <col min="7" max="7" width="11.88671875" style="72" customWidth="1"/>
    <col min="8" max="16384" width="9.109375" style="72"/>
  </cols>
  <sheetData>
    <row r="1" spans="1:35" ht="48" customHeight="1" x14ac:dyDescent="0.3">
      <c r="A1" s="185" t="s">
        <v>93</v>
      </c>
      <c r="B1" s="185"/>
      <c r="C1" s="185"/>
      <c r="D1" s="185"/>
      <c r="E1" s="185"/>
      <c r="F1" s="185"/>
      <c r="G1" s="185"/>
    </row>
    <row r="2" spans="1:35" ht="30.75" customHeight="1" x14ac:dyDescent="0.3">
      <c r="A2" s="73" t="s">
        <v>55</v>
      </c>
      <c r="B2" s="180" t="s">
        <v>56</v>
      </c>
      <c r="C2" s="180"/>
      <c r="D2" s="180"/>
      <c r="E2" s="180"/>
      <c r="F2" s="186" t="s">
        <v>94</v>
      </c>
      <c r="G2" s="187"/>
    </row>
    <row r="3" spans="1:35" ht="26.4" x14ac:dyDescent="0.3">
      <c r="A3" s="183"/>
      <c r="B3" s="181" t="s">
        <v>57</v>
      </c>
      <c r="C3" s="182"/>
      <c r="D3" s="181" t="s">
        <v>58</v>
      </c>
      <c r="E3" s="182"/>
      <c r="F3" s="73" t="s">
        <v>57</v>
      </c>
      <c r="G3" s="73" t="s">
        <v>58</v>
      </c>
    </row>
    <row r="4" spans="1:35" x14ac:dyDescent="0.3">
      <c r="A4" s="184"/>
      <c r="B4" s="181" t="s">
        <v>37</v>
      </c>
      <c r="C4" s="182"/>
      <c r="D4" s="181" t="s">
        <v>37</v>
      </c>
      <c r="E4" s="182"/>
      <c r="F4" s="73" t="s">
        <v>37</v>
      </c>
      <c r="G4" s="73" t="s">
        <v>37</v>
      </c>
    </row>
    <row r="5" spans="1:35" ht="26.4" x14ac:dyDescent="0.3">
      <c r="A5" s="74" t="s">
        <v>59</v>
      </c>
      <c r="B5" s="172">
        <v>80</v>
      </c>
      <c r="C5" s="173"/>
      <c r="D5" s="172">
        <v>80</v>
      </c>
      <c r="E5" s="173"/>
      <c r="F5" s="75">
        <v>40</v>
      </c>
      <c r="G5" s="75">
        <v>40</v>
      </c>
    </row>
    <row r="6" spans="1:35" x14ac:dyDescent="0.3">
      <c r="A6" s="74" t="s">
        <v>60</v>
      </c>
      <c r="B6" s="172">
        <v>150</v>
      </c>
      <c r="C6" s="173"/>
      <c r="D6" s="172">
        <v>150</v>
      </c>
      <c r="E6" s="173"/>
      <c r="F6" s="75">
        <f>(70+100+103+78+90+90+70+90+118)/10</f>
        <v>80.900000000000006</v>
      </c>
      <c r="G6" s="75">
        <f>(70+100+103+78+90+90+70+90+118)/10</f>
        <v>80.900000000000006</v>
      </c>
    </row>
    <row r="7" spans="1:35" x14ac:dyDescent="0.3">
      <c r="A7" s="74" t="s">
        <v>61</v>
      </c>
      <c r="B7" s="172">
        <v>15</v>
      </c>
      <c r="C7" s="173"/>
      <c r="D7" s="172">
        <v>15</v>
      </c>
      <c r="E7" s="173"/>
      <c r="F7" s="75">
        <f>(2+89.5+15.6+44.79+9.55+35.71+20.5+18.25+9.6)/10</f>
        <v>24.55</v>
      </c>
      <c r="G7" s="75">
        <v>24.55</v>
      </c>
    </row>
    <row r="8" spans="1:35" s="79" customFormat="1" x14ac:dyDescent="0.3">
      <c r="A8" s="76" t="s">
        <v>62</v>
      </c>
      <c r="B8" s="174">
        <v>45</v>
      </c>
      <c r="C8" s="175"/>
      <c r="D8" s="174">
        <v>45</v>
      </c>
      <c r="E8" s="175"/>
      <c r="F8" s="77">
        <f>(31+33+75+44+54+52+75+49)/10</f>
        <v>41.3</v>
      </c>
      <c r="G8" s="77">
        <v>41.3</v>
      </c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x14ac:dyDescent="0.3">
      <c r="A9" s="74" t="s">
        <v>63</v>
      </c>
      <c r="B9" s="172">
        <v>15</v>
      </c>
      <c r="C9" s="173"/>
      <c r="D9" s="172">
        <v>15</v>
      </c>
      <c r="E9" s="173"/>
      <c r="F9" s="75">
        <f>(52.5+10+10+52.5+10)/10</f>
        <v>13.5</v>
      </c>
      <c r="G9" s="75">
        <v>13.5</v>
      </c>
    </row>
    <row r="10" spans="1:35" x14ac:dyDescent="0.3">
      <c r="A10" s="74" t="s">
        <v>64</v>
      </c>
      <c r="B10" s="172" t="s">
        <v>65</v>
      </c>
      <c r="C10" s="173"/>
      <c r="D10" s="195">
        <v>188</v>
      </c>
      <c r="E10" s="196"/>
      <c r="F10" s="75">
        <f>(253.3+33.25+27+40+82.3+238+40+53.4+226.9+100)/10</f>
        <v>109.41500000000001</v>
      </c>
      <c r="G10" s="75">
        <f>(75+170+40+30+179+82.3+30+20+25+190)/10</f>
        <v>84.13</v>
      </c>
    </row>
    <row r="11" spans="1:35" x14ac:dyDescent="0.3">
      <c r="A11" s="74" t="s">
        <v>66</v>
      </c>
      <c r="B11" s="172">
        <v>350</v>
      </c>
      <c r="C11" s="173"/>
      <c r="D11" s="172" t="s">
        <v>67</v>
      </c>
      <c r="E11" s="173"/>
      <c r="F11" s="75">
        <f>(120.3+303.6+221.35+227.85+124.3+138.85+207.85+272.2+249.95+121.05)/10</f>
        <v>198.73</v>
      </c>
      <c r="G11" s="90">
        <f>(69.75+200+218.5+162+111.4+119+121.5+178.9+243.5+88.5)/10</f>
        <v>151.30500000000001</v>
      </c>
    </row>
    <row r="12" spans="1:35" x14ac:dyDescent="0.3">
      <c r="A12" s="74" t="s">
        <v>68</v>
      </c>
      <c r="B12" s="172">
        <v>200</v>
      </c>
      <c r="C12" s="173"/>
      <c r="D12" s="172" t="s">
        <v>69</v>
      </c>
      <c r="E12" s="173"/>
      <c r="F12" s="75">
        <f>(100+135.7+100+135+145.4+134+135.7+135+129+135.7)/10</f>
        <v>128.55000000000001</v>
      </c>
      <c r="G12" s="75">
        <f>(125+129+128+135.7+130+145.4+128.2+100+125+100)/10</f>
        <v>124.63</v>
      </c>
    </row>
    <row r="13" spans="1:35" ht="26.4" x14ac:dyDescent="0.3">
      <c r="A13" s="74" t="s">
        <v>70</v>
      </c>
      <c r="B13" s="172">
        <v>15</v>
      </c>
      <c r="C13" s="173"/>
      <c r="D13" s="172">
        <v>15</v>
      </c>
      <c r="E13" s="173"/>
      <c r="F13" s="75">
        <f>(20.1+5.1+25.6+25.6)/10</f>
        <v>7.6400000000000006</v>
      </c>
      <c r="G13" s="75">
        <f>(37+10+10+37+5+20.1)/10</f>
        <v>11.91</v>
      </c>
    </row>
    <row r="14" spans="1:35" ht="52.8" x14ac:dyDescent="0.3">
      <c r="A14" s="74" t="s">
        <v>71</v>
      </c>
      <c r="B14" s="172">
        <v>200</v>
      </c>
      <c r="C14" s="173"/>
      <c r="D14" s="172">
        <v>200</v>
      </c>
      <c r="E14" s="173"/>
      <c r="F14" s="75">
        <f>(200+200+200+200+200)/10</f>
        <v>100</v>
      </c>
      <c r="G14" s="75">
        <v>100</v>
      </c>
    </row>
    <row r="15" spans="1:35" ht="26.4" x14ac:dyDescent="0.3">
      <c r="A15" s="74" t="s">
        <v>72</v>
      </c>
      <c r="B15" s="172" t="s">
        <v>73</v>
      </c>
      <c r="C15" s="173"/>
      <c r="D15" s="172">
        <v>70</v>
      </c>
      <c r="E15" s="173"/>
      <c r="F15" s="75">
        <f>(92+40+121+150+121+40+150)/10</f>
        <v>71.400000000000006</v>
      </c>
      <c r="G15" s="75">
        <f>(106+25+96+106+96+25+63)/10</f>
        <v>51.7</v>
      </c>
    </row>
    <row r="16" spans="1:35" ht="39.6" x14ac:dyDescent="0.3">
      <c r="A16" s="74" t="s">
        <v>74</v>
      </c>
      <c r="B16" s="172" t="s">
        <v>75</v>
      </c>
      <c r="C16" s="173"/>
      <c r="D16" s="172">
        <v>35</v>
      </c>
      <c r="E16" s="173"/>
      <c r="F16" s="75">
        <f>(182+40+125)/10</f>
        <v>34.700000000000003</v>
      </c>
      <c r="G16" s="75">
        <f>(60+25+153)/10</f>
        <v>23.8</v>
      </c>
    </row>
    <row r="17" spans="1:7" x14ac:dyDescent="0.3">
      <c r="A17" s="74" t="s">
        <v>76</v>
      </c>
      <c r="B17" s="172">
        <v>60</v>
      </c>
      <c r="C17" s="173"/>
      <c r="D17" s="172">
        <v>58</v>
      </c>
      <c r="E17" s="173"/>
      <c r="F17" s="75">
        <f>(90+246+123)/10</f>
        <v>45.9</v>
      </c>
      <c r="G17" s="75">
        <f>(61+124+66)/10</f>
        <v>25.1</v>
      </c>
    </row>
    <row r="18" spans="1:7" x14ac:dyDescent="0.3">
      <c r="A18" s="74" t="s">
        <v>77</v>
      </c>
      <c r="B18" s="172">
        <v>15</v>
      </c>
      <c r="C18" s="173"/>
      <c r="D18" s="172">
        <v>14.7</v>
      </c>
      <c r="E18" s="173"/>
      <c r="F18" s="75">
        <v>0</v>
      </c>
      <c r="G18" s="75">
        <v>0</v>
      </c>
    </row>
    <row r="19" spans="1:7" ht="26.4" x14ac:dyDescent="0.3">
      <c r="A19" s="74" t="s">
        <v>78</v>
      </c>
      <c r="B19" s="172">
        <v>300</v>
      </c>
      <c r="C19" s="173"/>
      <c r="D19" s="172">
        <v>300</v>
      </c>
      <c r="E19" s="173"/>
      <c r="F19" s="75">
        <f>(435+176+411+100+411+150+125.92+162+102+411)/10</f>
        <v>248.392</v>
      </c>
      <c r="G19" s="75">
        <f>(400+100.5+162+125.92+150+400+100+400+176+446.5)/10</f>
        <v>246.09200000000001</v>
      </c>
    </row>
    <row r="20" spans="1:7" ht="39.6" x14ac:dyDescent="0.3">
      <c r="A20" s="74" t="s">
        <v>79</v>
      </c>
      <c r="B20" s="172">
        <v>150</v>
      </c>
      <c r="C20" s="173"/>
      <c r="D20" s="172">
        <v>150</v>
      </c>
      <c r="E20" s="173"/>
      <c r="F20" s="75">
        <f>(206+237+206+207+206+207)/10</f>
        <v>126.9</v>
      </c>
      <c r="G20" s="75">
        <f>(200+200+200+200+230+200)/10</f>
        <v>123</v>
      </c>
    </row>
    <row r="21" spans="1:7" ht="26.4" x14ac:dyDescent="0.3">
      <c r="A21" s="74" t="s">
        <v>80</v>
      </c>
      <c r="B21" s="172">
        <v>50</v>
      </c>
      <c r="C21" s="173"/>
      <c r="D21" s="172">
        <v>50</v>
      </c>
      <c r="E21" s="173"/>
      <c r="F21" s="75">
        <f>(83.7+113.7)/10</f>
        <v>19.740000000000002</v>
      </c>
      <c r="G21" s="75">
        <f>(112+82)/10</f>
        <v>19.399999999999999</v>
      </c>
    </row>
    <row r="22" spans="1:7" x14ac:dyDescent="0.3">
      <c r="A22" s="74" t="s">
        <v>81</v>
      </c>
      <c r="B22" s="172">
        <v>10</v>
      </c>
      <c r="C22" s="173"/>
      <c r="D22" s="172">
        <v>9.8000000000000007</v>
      </c>
      <c r="E22" s="173"/>
      <c r="F22" s="75">
        <f>(16+16+16)/10</f>
        <v>4.8</v>
      </c>
      <c r="G22" s="90">
        <f>(15+15+15)/10</f>
        <v>4.5</v>
      </c>
    </row>
    <row r="23" spans="1:7" ht="26.4" x14ac:dyDescent="0.3">
      <c r="A23" s="74" t="s">
        <v>82</v>
      </c>
      <c r="B23" s="172">
        <v>10</v>
      </c>
      <c r="C23" s="173"/>
      <c r="D23" s="172">
        <v>10</v>
      </c>
      <c r="E23" s="173"/>
      <c r="F23" s="80">
        <f>(12.5+12.5+12.5+22)/10</f>
        <v>5.95</v>
      </c>
      <c r="G23" s="80">
        <v>5.95</v>
      </c>
    </row>
    <row r="24" spans="1:7" x14ac:dyDescent="0.3">
      <c r="A24" s="74" t="s">
        <v>83</v>
      </c>
      <c r="B24" s="172">
        <v>30</v>
      </c>
      <c r="C24" s="173"/>
      <c r="D24" s="172">
        <v>30</v>
      </c>
      <c r="E24" s="173"/>
      <c r="F24" s="75">
        <f>(25.75+20+28.9+30+20.3+40.75+39.12+31.6+15.25+19.5)/10</f>
        <v>27.116999999999997</v>
      </c>
      <c r="G24" s="75">
        <v>27.12</v>
      </c>
    </row>
    <row r="25" spans="1:7" x14ac:dyDescent="0.3">
      <c r="A25" s="74" t="s">
        <v>84</v>
      </c>
      <c r="B25" s="172">
        <v>15</v>
      </c>
      <c r="C25" s="173"/>
      <c r="D25" s="172">
        <v>15</v>
      </c>
      <c r="E25" s="173"/>
      <c r="F25" s="75">
        <f>(10+24+14.15+5+12.32+15.7+15+17+27+10)/10</f>
        <v>15.017000000000001</v>
      </c>
      <c r="G25" s="75">
        <v>15.02</v>
      </c>
    </row>
    <row r="26" spans="1:7" x14ac:dyDescent="0.3">
      <c r="A26" s="74" t="s">
        <v>85</v>
      </c>
      <c r="B26" s="172" t="s">
        <v>86</v>
      </c>
      <c r="C26" s="173"/>
      <c r="D26" s="172">
        <v>40</v>
      </c>
      <c r="E26" s="173"/>
      <c r="F26" s="75">
        <f>(2.1+3+40+1.6+80.1+40+81.4+9.9+2.1)/10</f>
        <v>26.020000000000003</v>
      </c>
      <c r="G26" s="75">
        <f>26.02</f>
        <v>26.02</v>
      </c>
    </row>
    <row r="27" spans="1:7" x14ac:dyDescent="0.3">
      <c r="A27" s="74" t="s">
        <v>87</v>
      </c>
      <c r="B27" s="172">
        <v>40</v>
      </c>
      <c r="C27" s="173"/>
      <c r="D27" s="195">
        <v>40</v>
      </c>
      <c r="E27" s="196"/>
      <c r="F27" s="75">
        <f>(26+10.75+32.15+32.7+36.6+24.35+54.3+39.5+30+46.36+6)/10</f>
        <v>33.871000000000002</v>
      </c>
      <c r="G27" s="75">
        <v>33.869999999999997</v>
      </c>
    </row>
    <row r="28" spans="1:7" x14ac:dyDescent="0.3">
      <c r="A28" s="74" t="s">
        <v>88</v>
      </c>
      <c r="B28" s="195">
        <v>10</v>
      </c>
      <c r="C28" s="196"/>
      <c r="D28" s="172">
        <v>10</v>
      </c>
      <c r="E28" s="173"/>
      <c r="F28" s="75">
        <f>(20+20+20+15)/10</f>
        <v>7.5</v>
      </c>
      <c r="G28" s="75">
        <v>7.5</v>
      </c>
    </row>
    <row r="29" spans="1:7" x14ac:dyDescent="0.3">
      <c r="A29" s="74" t="s">
        <v>89</v>
      </c>
      <c r="B29" s="172">
        <v>0.4</v>
      </c>
      <c r="C29" s="173"/>
      <c r="D29" s="172">
        <v>0.4</v>
      </c>
      <c r="E29" s="173"/>
      <c r="F29" s="75">
        <f>(0.5+0.5+0.5+0.5)/10</f>
        <v>0.2</v>
      </c>
      <c r="G29" s="75">
        <v>0.2</v>
      </c>
    </row>
    <row r="30" spans="1:7" x14ac:dyDescent="0.3">
      <c r="A30" s="74" t="s">
        <v>90</v>
      </c>
      <c r="B30" s="172">
        <v>1.2</v>
      </c>
      <c r="C30" s="173"/>
      <c r="D30" s="172">
        <v>1.2</v>
      </c>
      <c r="E30" s="173"/>
      <c r="F30" s="75">
        <f>(4+4)/10</f>
        <v>0.8</v>
      </c>
      <c r="G30" s="75">
        <v>0.8</v>
      </c>
    </row>
    <row r="31" spans="1:7" x14ac:dyDescent="0.3">
      <c r="A31" s="74" t="s">
        <v>91</v>
      </c>
      <c r="B31" s="172">
        <v>1</v>
      </c>
      <c r="C31" s="173"/>
      <c r="D31" s="172">
        <v>1</v>
      </c>
      <c r="E31" s="173"/>
      <c r="F31" s="75">
        <f>(0.1+0.56+0.5+0.1+0.1+2.25)/10</f>
        <v>0.36100000000000004</v>
      </c>
      <c r="G31" s="75">
        <v>0.36</v>
      </c>
    </row>
    <row r="32" spans="1:7" x14ac:dyDescent="0.3">
      <c r="A32" s="74" t="s">
        <v>92</v>
      </c>
      <c r="B32" s="172">
        <v>5</v>
      </c>
      <c r="C32" s="173"/>
      <c r="D32" s="172">
        <v>5</v>
      </c>
      <c r="E32" s="173"/>
      <c r="F32" s="75">
        <f>(3.3+3.1+3+3.03+3.2+3.8+3.56+3+3+5)/10</f>
        <v>3.3989999999999996</v>
      </c>
      <c r="G32" s="75">
        <v>3.4</v>
      </c>
    </row>
    <row r="33" spans="1:8" ht="15" thickBot="1" x14ac:dyDescent="0.35"/>
    <row r="34" spans="1:8" ht="40.200000000000003" thickBot="1" x14ac:dyDescent="0.35">
      <c r="A34" s="188" t="s">
        <v>44</v>
      </c>
      <c r="B34" s="189"/>
      <c r="C34" s="189"/>
      <c r="D34" s="189"/>
      <c r="E34" s="192" t="s">
        <v>45</v>
      </c>
      <c r="F34" s="193"/>
      <c r="G34" s="194"/>
      <c r="H34" s="33" t="s">
        <v>46</v>
      </c>
    </row>
    <row r="35" spans="1:8" ht="15" thickBot="1" x14ac:dyDescent="0.35">
      <c r="A35" s="190"/>
      <c r="B35" s="191"/>
      <c r="C35" s="191"/>
      <c r="D35" s="191"/>
      <c r="E35" s="34" t="s">
        <v>1</v>
      </c>
      <c r="F35" s="34" t="s">
        <v>2</v>
      </c>
      <c r="G35" s="34" t="s">
        <v>3</v>
      </c>
      <c r="H35" s="35"/>
    </row>
    <row r="36" spans="1:8" ht="15" thickBot="1" x14ac:dyDescent="0.35">
      <c r="A36" s="165" t="s">
        <v>48</v>
      </c>
      <c r="B36" s="166"/>
      <c r="C36" s="166"/>
      <c r="D36" s="166"/>
      <c r="E36" s="34" t="s">
        <v>49</v>
      </c>
      <c r="F36" s="34" t="s">
        <v>50</v>
      </c>
      <c r="G36" s="34" t="s">
        <v>51</v>
      </c>
      <c r="H36" s="34" t="s">
        <v>52</v>
      </c>
    </row>
    <row r="37" spans="1:8" ht="15" thickBot="1" x14ac:dyDescent="0.35">
      <c r="A37" s="165" t="s">
        <v>53</v>
      </c>
      <c r="B37" s="166"/>
      <c r="C37" s="166"/>
      <c r="D37" s="166"/>
      <c r="E37" s="36">
        <f>(58.91+61.65+54.83+57.92+52.03+59.4+59.44+72.27+47.3+60.35)/10</f>
        <v>58.410000000000004</v>
      </c>
      <c r="F37" s="36">
        <f>(58.73+54.74+80.65+59.08+56.01+67.37+63.16+63.03+47.78+71.64)/10</f>
        <v>62.218999999999994</v>
      </c>
      <c r="G37" s="36">
        <f>(239.73+241.82+191.79+259+215.93+215.28+235.41+234.37+217.14+224.3)/10</f>
        <v>227.477</v>
      </c>
      <c r="H37" s="36">
        <f>(1738.9+1754.78+1715.58+1832.8+1561.06+1704.48+1764.3+1811.58+1514.93+1825.63)/10</f>
        <v>1722.404</v>
      </c>
    </row>
    <row r="38" spans="1:8" x14ac:dyDescent="0.3">
      <c r="A38"/>
      <c r="B38"/>
      <c r="C38"/>
      <c r="D38"/>
      <c r="E38"/>
      <c r="F38"/>
      <c r="G38"/>
      <c r="H38"/>
    </row>
  </sheetData>
  <mergeCells count="68">
    <mergeCell ref="A36:D36"/>
    <mergeCell ref="A37:D37"/>
    <mergeCell ref="A34:D35"/>
    <mergeCell ref="E34:G34"/>
    <mergeCell ref="B9:C9"/>
    <mergeCell ref="B19:C19"/>
    <mergeCell ref="B18:C18"/>
    <mergeCell ref="B16:C16"/>
    <mergeCell ref="B17:C17"/>
    <mergeCell ref="B15:C15"/>
    <mergeCell ref="B24:C24"/>
    <mergeCell ref="B23:C23"/>
    <mergeCell ref="B22:C22"/>
    <mergeCell ref="B21:C21"/>
    <mergeCell ref="B20:C20"/>
    <mergeCell ref="B28:C28"/>
    <mergeCell ref="B8:C8"/>
    <mergeCell ref="B7:C7"/>
    <mergeCell ref="B6:C6"/>
    <mergeCell ref="B5:C5"/>
    <mergeCell ref="B14:C14"/>
    <mergeCell ref="B13:C13"/>
    <mergeCell ref="B12:C12"/>
    <mergeCell ref="B11:C11"/>
    <mergeCell ref="B10:C10"/>
    <mergeCell ref="B29:C29"/>
    <mergeCell ref="B27:C27"/>
    <mergeCell ref="B26:C26"/>
    <mergeCell ref="B25:C25"/>
    <mergeCell ref="D30:E30"/>
    <mergeCell ref="D25:E25"/>
    <mergeCell ref="D26:E26"/>
    <mergeCell ref="D27:E27"/>
    <mergeCell ref="D28:E28"/>
    <mergeCell ref="D29:E29"/>
    <mergeCell ref="D31:E31"/>
    <mergeCell ref="D32:E32"/>
    <mergeCell ref="B32:C32"/>
    <mergeCell ref="B31:C31"/>
    <mergeCell ref="B30:C30"/>
    <mergeCell ref="D20:E20"/>
    <mergeCell ref="D21:E21"/>
    <mergeCell ref="D22:E22"/>
    <mergeCell ref="D23:E23"/>
    <mergeCell ref="D24:E24"/>
    <mergeCell ref="D15:E15"/>
    <mergeCell ref="D16:E16"/>
    <mergeCell ref="D17:E17"/>
    <mergeCell ref="D18:E18"/>
    <mergeCell ref="D19:E19"/>
    <mergeCell ref="D10:E10"/>
    <mergeCell ref="D11:E11"/>
    <mergeCell ref="D12:E12"/>
    <mergeCell ref="D13:E13"/>
    <mergeCell ref="D14:E14"/>
    <mergeCell ref="D5:E5"/>
    <mergeCell ref="D6:E6"/>
    <mergeCell ref="D7:E7"/>
    <mergeCell ref="D8:E8"/>
    <mergeCell ref="D9:E9"/>
    <mergeCell ref="A1:G1"/>
    <mergeCell ref="B2:E2"/>
    <mergeCell ref="F2:G2"/>
    <mergeCell ref="A3:A4"/>
    <mergeCell ref="B3:C3"/>
    <mergeCell ref="D3:E3"/>
    <mergeCell ref="B4:C4"/>
    <mergeCell ref="D4:E4"/>
  </mergeCells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O68"/>
  <sheetViews>
    <sheetView view="pageBreakPreview" zoomScale="80" zoomScaleNormal="100" zoomScaleSheetLayoutView="80" workbookViewId="0">
      <selection activeCell="B28" sqref="B28:B29"/>
    </sheetView>
  </sheetViews>
  <sheetFormatPr defaultColWidth="9.109375" defaultRowHeight="13.8" x14ac:dyDescent="0.3"/>
  <cols>
    <col min="1" max="1" width="14.6640625" style="21" customWidth="1"/>
    <col min="2" max="2" width="32" style="21" bestFit="1" customWidth="1"/>
    <col min="3" max="3" width="9.33203125" style="21" bestFit="1" customWidth="1"/>
    <col min="4" max="4" width="11.33203125" style="21" bestFit="1" customWidth="1"/>
    <col min="5" max="6" width="9.33203125" style="21" bestFit="1" customWidth="1"/>
    <col min="7" max="7" width="12.6640625" style="21" customWidth="1"/>
    <col min="8" max="8" width="10.88671875" style="21" customWidth="1"/>
    <col min="9" max="9" width="10.6640625" style="21" customWidth="1"/>
    <col min="10" max="10" width="9.33203125" style="21" bestFit="1" customWidth="1"/>
    <col min="11" max="11" width="11.33203125" style="21" customWidth="1"/>
    <col min="12" max="12" width="12.33203125" style="21" customWidth="1"/>
    <col min="13" max="13" width="10.44140625" style="21" bestFit="1" customWidth="1"/>
    <col min="14" max="15" width="9.33203125" style="21" bestFit="1" customWidth="1"/>
    <col min="16" max="16384" width="9.109375" style="21"/>
  </cols>
  <sheetData>
    <row r="1" spans="1:15" x14ac:dyDescent="0.3">
      <c r="A1" s="19" t="s">
        <v>30</v>
      </c>
      <c r="B1" s="20" t="s">
        <v>31</v>
      </c>
    </row>
    <row r="2" spans="1:15" x14ac:dyDescent="0.3">
      <c r="A2" s="19" t="s">
        <v>32</v>
      </c>
      <c r="B2" s="20" t="s">
        <v>33</v>
      </c>
    </row>
    <row r="3" spans="1:15" x14ac:dyDescent="0.3">
      <c r="A3" s="19" t="s">
        <v>34</v>
      </c>
      <c r="B3" s="20" t="s">
        <v>35</v>
      </c>
    </row>
    <row r="4" spans="1:15" ht="26.4" x14ac:dyDescent="0.3">
      <c r="A4" s="19" t="s">
        <v>36</v>
      </c>
      <c r="B4" s="20" t="s">
        <v>37</v>
      </c>
    </row>
    <row r="5" spans="1:15" ht="15.75" customHeight="1" x14ac:dyDescent="0.3">
      <c r="A5" s="163" t="s">
        <v>25</v>
      </c>
      <c r="B5" s="163" t="s">
        <v>20</v>
      </c>
      <c r="C5" s="163" t="s">
        <v>23</v>
      </c>
      <c r="D5" s="167" t="s">
        <v>28</v>
      </c>
      <c r="E5" s="168"/>
      <c r="F5" s="169"/>
      <c r="G5" s="163" t="s">
        <v>0</v>
      </c>
      <c r="H5" s="167" t="s">
        <v>27</v>
      </c>
      <c r="I5" s="168"/>
      <c r="J5" s="168"/>
      <c r="K5" s="169"/>
      <c r="L5" s="167" t="s">
        <v>26</v>
      </c>
      <c r="M5" s="168"/>
      <c r="N5" s="168"/>
      <c r="O5" s="169"/>
    </row>
    <row r="6" spans="1:15" ht="24" customHeight="1" x14ac:dyDescent="0.3">
      <c r="A6" s="164"/>
      <c r="B6" s="171"/>
      <c r="C6" s="170"/>
      <c r="D6" s="22" t="s">
        <v>1</v>
      </c>
      <c r="E6" s="22" t="s">
        <v>2</v>
      </c>
      <c r="F6" s="22" t="s">
        <v>3</v>
      </c>
      <c r="G6" s="164"/>
      <c r="H6" s="22" t="s">
        <v>42</v>
      </c>
      <c r="I6" s="22" t="s">
        <v>4</v>
      </c>
      <c r="J6" s="22" t="s">
        <v>122</v>
      </c>
      <c r="K6" s="22" t="s">
        <v>6</v>
      </c>
      <c r="L6" s="22" t="s">
        <v>7</v>
      </c>
      <c r="M6" s="22" t="s">
        <v>8</v>
      </c>
      <c r="N6" s="22" t="s">
        <v>9</v>
      </c>
      <c r="O6" s="22" t="s">
        <v>10</v>
      </c>
    </row>
    <row r="7" spans="1:15" s="23" customFormat="1" ht="15" customHeight="1" x14ac:dyDescent="0.3">
      <c r="A7" s="176" t="s">
        <v>22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7"/>
    </row>
    <row r="8" spans="1:15" s="10" customFormat="1" ht="39.75" customHeight="1" x14ac:dyDescent="0.3">
      <c r="A8" s="135">
        <v>132</v>
      </c>
      <c r="B8" s="6" t="s">
        <v>124</v>
      </c>
      <c r="C8" s="135">
        <v>250</v>
      </c>
      <c r="D8" s="12">
        <v>2.4</v>
      </c>
      <c r="E8" s="12">
        <v>5</v>
      </c>
      <c r="F8" s="12">
        <v>15.7</v>
      </c>
      <c r="G8" s="12">
        <v>123</v>
      </c>
      <c r="H8" s="12">
        <v>0.08</v>
      </c>
      <c r="I8" s="12">
        <v>6.71</v>
      </c>
      <c r="J8" s="12">
        <v>0.06</v>
      </c>
      <c r="K8" s="12">
        <v>0</v>
      </c>
      <c r="L8" s="12">
        <v>23.04</v>
      </c>
      <c r="M8" s="12">
        <v>0</v>
      </c>
      <c r="N8" s="12">
        <v>23.18</v>
      </c>
      <c r="O8" s="12">
        <v>0.86</v>
      </c>
    </row>
    <row r="9" spans="1:15" s="23" customFormat="1" x14ac:dyDescent="0.3">
      <c r="A9" s="135">
        <v>10</v>
      </c>
      <c r="B9" s="6" t="s">
        <v>12</v>
      </c>
      <c r="C9" s="135">
        <v>180</v>
      </c>
      <c r="D9" s="12">
        <v>38.42</v>
      </c>
      <c r="E9" s="12">
        <v>5.49</v>
      </c>
      <c r="F9" s="12">
        <v>207.62</v>
      </c>
      <c r="G9" s="12">
        <v>1034</v>
      </c>
      <c r="H9" s="12">
        <v>0.56000000000000005</v>
      </c>
      <c r="I9" s="12"/>
      <c r="J9" s="12">
        <v>0.2</v>
      </c>
      <c r="K9" s="12">
        <v>0</v>
      </c>
      <c r="L9" s="12">
        <v>49.9</v>
      </c>
      <c r="M9" s="12">
        <v>0</v>
      </c>
      <c r="N9" s="12">
        <v>0</v>
      </c>
      <c r="O9" s="12">
        <v>8.14</v>
      </c>
    </row>
    <row r="10" spans="1:15" s="10" customFormat="1" ht="14.4" x14ac:dyDescent="0.3">
      <c r="A10" s="135">
        <v>131</v>
      </c>
      <c r="B10" s="6" t="s">
        <v>118</v>
      </c>
      <c r="C10" s="135">
        <v>100</v>
      </c>
      <c r="D10" s="12">
        <v>9.8000000000000007</v>
      </c>
      <c r="E10" s="12">
        <v>24.9</v>
      </c>
      <c r="F10" s="12">
        <v>0.8</v>
      </c>
      <c r="G10" s="12">
        <v>267</v>
      </c>
      <c r="H10" s="12">
        <v>0.02</v>
      </c>
      <c r="I10" s="12">
        <v>0</v>
      </c>
      <c r="J10" s="12">
        <v>0</v>
      </c>
      <c r="K10" s="12">
        <v>0</v>
      </c>
      <c r="L10" s="12">
        <v>23.06</v>
      </c>
      <c r="M10" s="12">
        <v>0</v>
      </c>
      <c r="N10" s="12">
        <v>13.05</v>
      </c>
      <c r="O10" s="12">
        <v>1.58</v>
      </c>
    </row>
    <row r="11" spans="1:15" s="10" customFormat="1" ht="14.4" x14ac:dyDescent="0.3">
      <c r="A11" s="40">
        <v>300</v>
      </c>
      <c r="B11" s="6" t="s">
        <v>123</v>
      </c>
      <c r="C11" s="151">
        <v>200</v>
      </c>
      <c r="D11" s="92">
        <v>0.2</v>
      </c>
      <c r="E11" s="91">
        <v>0</v>
      </c>
      <c r="F11" s="92">
        <v>9.1</v>
      </c>
      <c r="G11" s="91">
        <v>36</v>
      </c>
      <c r="H11" s="92">
        <v>0</v>
      </c>
      <c r="I11" s="91">
        <v>0</v>
      </c>
      <c r="J11" s="92">
        <v>0</v>
      </c>
      <c r="K11" s="91">
        <v>0</v>
      </c>
      <c r="L11" s="92">
        <v>0.26</v>
      </c>
      <c r="M11" s="91">
        <v>0</v>
      </c>
      <c r="N11" s="92">
        <v>0</v>
      </c>
      <c r="O11" s="93">
        <v>0.03</v>
      </c>
    </row>
    <row r="12" spans="1:15" s="23" customFormat="1" x14ac:dyDescent="0.3">
      <c r="A12" s="135">
        <v>1.5</v>
      </c>
      <c r="B12" s="6" t="s">
        <v>14</v>
      </c>
      <c r="C12" s="135">
        <v>50</v>
      </c>
      <c r="D12" s="12">
        <v>2.2400000000000002</v>
      </c>
      <c r="E12" s="12">
        <v>0.88</v>
      </c>
      <c r="F12" s="12">
        <v>19.760000000000002</v>
      </c>
      <c r="G12" s="12">
        <v>91.96</v>
      </c>
      <c r="H12" s="12">
        <v>0.04</v>
      </c>
      <c r="I12" s="12"/>
      <c r="J12" s="12"/>
      <c r="K12" s="12">
        <v>0.36</v>
      </c>
      <c r="L12" s="12">
        <v>9.1999999999999993</v>
      </c>
      <c r="M12" s="12">
        <v>42.4</v>
      </c>
      <c r="N12" s="12">
        <v>10</v>
      </c>
      <c r="O12" s="12">
        <v>1.24</v>
      </c>
    </row>
    <row r="13" spans="1:15" s="10" customFormat="1" ht="14.4" x14ac:dyDescent="0.3">
      <c r="A13" s="135">
        <v>1.6</v>
      </c>
      <c r="B13" s="6" t="s">
        <v>60</v>
      </c>
      <c r="C13" s="135">
        <v>50</v>
      </c>
      <c r="D13" s="12">
        <v>3.16</v>
      </c>
      <c r="E13" s="12">
        <v>0.4</v>
      </c>
      <c r="F13" s="12">
        <v>19.32</v>
      </c>
      <c r="G13" s="12">
        <v>93.52</v>
      </c>
      <c r="H13" s="12">
        <v>0.04</v>
      </c>
      <c r="I13" s="12"/>
      <c r="J13" s="12"/>
      <c r="K13" s="12">
        <v>0.52</v>
      </c>
      <c r="L13" s="12">
        <v>9.1999999999999993</v>
      </c>
      <c r="M13" s="12">
        <v>34.799999999999997</v>
      </c>
      <c r="N13" s="12">
        <v>13.2</v>
      </c>
      <c r="O13" s="12">
        <v>0.44</v>
      </c>
    </row>
    <row r="14" spans="1:15" s="23" customFormat="1" x14ac:dyDescent="0.3">
      <c r="A14" s="94" t="s">
        <v>11</v>
      </c>
      <c r="B14" s="95"/>
      <c r="C14" s="95"/>
      <c r="D14" s="97">
        <f>SUM(D8:D13)</f>
        <v>56.220000000000013</v>
      </c>
      <c r="E14" s="97">
        <f>SUM(E8:E13)</f>
        <v>36.67</v>
      </c>
      <c r="F14" s="97">
        <f>SUM(F8:F13)</f>
        <v>272.3</v>
      </c>
      <c r="G14" s="97">
        <f>SUM(G8:G13)</f>
        <v>1645.48</v>
      </c>
      <c r="H14" s="96"/>
      <c r="I14" s="96"/>
      <c r="J14" s="96"/>
      <c r="K14" s="96"/>
      <c r="L14" s="96"/>
      <c r="M14" s="96"/>
      <c r="N14" s="96"/>
      <c r="O14" s="96"/>
    </row>
    <row r="15" spans="1:15" ht="15" customHeight="1" x14ac:dyDescent="0.3">
      <c r="A15" s="178" t="s">
        <v>21</v>
      </c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9"/>
    </row>
    <row r="16" spans="1:15" s="41" customFormat="1" x14ac:dyDescent="0.3">
      <c r="A16" s="40"/>
      <c r="B16" s="30" t="s">
        <v>100</v>
      </c>
      <c r="C16" s="40">
        <v>100</v>
      </c>
      <c r="D16" s="121">
        <v>8.5</v>
      </c>
      <c r="E16" s="120">
        <v>11.3</v>
      </c>
      <c r="F16" s="121">
        <v>69.7</v>
      </c>
      <c r="G16" s="121">
        <v>414.5</v>
      </c>
      <c r="H16" s="121">
        <v>0.1</v>
      </c>
      <c r="I16" s="121"/>
      <c r="J16" s="121">
        <v>65</v>
      </c>
      <c r="K16" s="121">
        <v>1.3</v>
      </c>
      <c r="L16" s="121">
        <v>41</v>
      </c>
      <c r="M16" s="121">
        <v>87</v>
      </c>
      <c r="N16" s="121">
        <v>15</v>
      </c>
      <c r="O16" s="121">
        <v>1</v>
      </c>
    </row>
    <row r="17" spans="1:15" s="23" customFormat="1" ht="18.75" customHeight="1" x14ac:dyDescent="0.3">
      <c r="A17" s="11">
        <v>338</v>
      </c>
      <c r="B17" s="6" t="s">
        <v>17</v>
      </c>
      <c r="C17" s="11">
        <v>150</v>
      </c>
      <c r="D17" s="12">
        <v>0.4</v>
      </c>
      <c r="E17" s="12">
        <v>0.4</v>
      </c>
      <c r="F17" s="12">
        <v>9.8000000000000007</v>
      </c>
      <c r="G17" s="12">
        <v>47</v>
      </c>
      <c r="H17" s="12">
        <v>0.03</v>
      </c>
      <c r="I17" s="12">
        <v>10</v>
      </c>
      <c r="J17" s="12"/>
      <c r="K17" s="12">
        <v>0.2</v>
      </c>
      <c r="L17" s="12">
        <v>16</v>
      </c>
      <c r="M17" s="12">
        <v>11</v>
      </c>
      <c r="N17" s="12">
        <v>9</v>
      </c>
      <c r="O17" s="12">
        <v>2.2000000000000002</v>
      </c>
    </row>
    <row r="18" spans="1:15" x14ac:dyDescent="0.3">
      <c r="A18" s="94" t="s">
        <v>43</v>
      </c>
      <c r="B18" s="95"/>
      <c r="C18" s="95"/>
      <c r="D18" s="97">
        <f>SUM(D16:D17)</f>
        <v>8.9</v>
      </c>
      <c r="E18" s="97">
        <f>SUM(E16:E17)</f>
        <v>11.700000000000001</v>
      </c>
      <c r="F18" s="97">
        <f>SUM(F16:F17)</f>
        <v>79.5</v>
      </c>
      <c r="G18" s="97">
        <f>SUM(G16:G17)</f>
        <v>461.5</v>
      </c>
      <c r="H18" s="96"/>
      <c r="I18" s="96"/>
      <c r="J18" s="96"/>
      <c r="K18" s="96"/>
      <c r="L18" s="96"/>
      <c r="M18" s="96"/>
      <c r="N18" s="96"/>
      <c r="O18" s="96"/>
    </row>
    <row r="19" spans="1:15" x14ac:dyDescent="0.3">
      <c r="A19" s="27" t="s">
        <v>15</v>
      </c>
      <c r="B19" s="28"/>
      <c r="C19" s="28"/>
      <c r="D19" s="29">
        <f>SUM(D14,D18)</f>
        <v>65.120000000000019</v>
      </c>
      <c r="E19" s="29">
        <f>SUM(E8,E18)</f>
        <v>16.700000000000003</v>
      </c>
      <c r="F19" s="29">
        <f>SUM(F14,F18)</f>
        <v>351.8</v>
      </c>
      <c r="G19" s="29">
        <f>SUM(G14,G18)</f>
        <v>2106.98</v>
      </c>
      <c r="H19" s="29"/>
      <c r="I19" s="29"/>
      <c r="J19" s="29"/>
      <c r="K19" s="29"/>
      <c r="L19" s="29"/>
      <c r="M19" s="29"/>
      <c r="N19" s="29"/>
      <c r="O19" s="29"/>
    </row>
    <row r="20" spans="1:15" ht="14.4" thickBot="1" x14ac:dyDescent="0.35"/>
    <row r="21" spans="1:15" ht="27" thickBot="1" x14ac:dyDescent="0.35">
      <c r="B21" s="188" t="s">
        <v>44</v>
      </c>
      <c r="C21" s="189"/>
      <c r="D21" s="189"/>
      <c r="E21" s="189"/>
      <c r="F21" s="192" t="s">
        <v>45</v>
      </c>
      <c r="G21" s="193"/>
      <c r="H21" s="194"/>
      <c r="I21" s="33" t="s">
        <v>46</v>
      </c>
      <c r="K21" s="19" t="s">
        <v>30</v>
      </c>
      <c r="L21" s="20" t="s">
        <v>31</v>
      </c>
    </row>
    <row r="22" spans="1:15" ht="14.4" thickBot="1" x14ac:dyDescent="0.35">
      <c r="B22" s="190"/>
      <c r="C22" s="191"/>
      <c r="D22" s="191"/>
      <c r="E22" s="191"/>
      <c r="F22" s="34" t="s">
        <v>1</v>
      </c>
      <c r="G22" s="34" t="s">
        <v>2</v>
      </c>
      <c r="H22" s="34" t="s">
        <v>3</v>
      </c>
      <c r="I22" s="35"/>
      <c r="K22" s="19" t="s">
        <v>32</v>
      </c>
      <c r="L22" s="20" t="s">
        <v>33</v>
      </c>
    </row>
    <row r="23" spans="1:15" ht="28.2" thickBot="1" x14ac:dyDescent="0.35">
      <c r="B23" s="165" t="s">
        <v>48</v>
      </c>
      <c r="C23" s="166"/>
      <c r="D23" s="166"/>
      <c r="E23" s="166"/>
      <c r="F23" s="34" t="s">
        <v>49</v>
      </c>
      <c r="G23" s="34" t="s">
        <v>50</v>
      </c>
      <c r="H23" s="34" t="s">
        <v>51</v>
      </c>
      <c r="I23" s="34" t="s">
        <v>104</v>
      </c>
      <c r="K23" s="19" t="s">
        <v>34</v>
      </c>
      <c r="L23" s="20" t="s">
        <v>35</v>
      </c>
    </row>
    <row r="24" spans="1:15" ht="27" thickBot="1" x14ac:dyDescent="0.35">
      <c r="B24" s="165" t="s">
        <v>47</v>
      </c>
      <c r="C24" s="166"/>
      <c r="D24" s="166"/>
      <c r="E24" s="166"/>
      <c r="F24" s="36">
        <f>D19</f>
        <v>65.120000000000019</v>
      </c>
      <c r="G24" s="36">
        <f>E19</f>
        <v>16.700000000000003</v>
      </c>
      <c r="H24" s="36">
        <f>F19</f>
        <v>351.8</v>
      </c>
      <c r="I24" s="36">
        <f>G19</f>
        <v>2106.98</v>
      </c>
      <c r="K24" s="19" t="s">
        <v>36</v>
      </c>
      <c r="L24" s="20" t="s">
        <v>37</v>
      </c>
    </row>
    <row r="25" spans="1:15" x14ac:dyDescent="0.3">
      <c r="O25" s="42"/>
    </row>
    <row r="26" spans="1:15" ht="28.5" customHeight="1" x14ac:dyDescent="0.3">
      <c r="B26" s="185" t="s">
        <v>93</v>
      </c>
      <c r="C26" s="185"/>
      <c r="D26" s="185"/>
      <c r="E26" s="185"/>
      <c r="F26" s="185"/>
      <c r="G26" s="185"/>
      <c r="H26" s="185"/>
      <c r="I26" s="43"/>
      <c r="J26" s="43"/>
      <c r="K26" s="43"/>
      <c r="L26" s="43"/>
      <c r="M26" s="43"/>
      <c r="N26" s="43"/>
      <c r="O26" s="43"/>
    </row>
    <row r="27" spans="1:15" x14ac:dyDescent="0.3">
      <c r="B27" s="73" t="s">
        <v>55</v>
      </c>
      <c r="C27" s="180" t="s">
        <v>56</v>
      </c>
      <c r="D27" s="180"/>
      <c r="E27" s="180"/>
      <c r="F27" s="180"/>
      <c r="G27" s="186" t="s">
        <v>94</v>
      </c>
      <c r="H27" s="187"/>
    </row>
    <row r="28" spans="1:15" ht="26.4" x14ac:dyDescent="0.3">
      <c r="B28" s="183"/>
      <c r="C28" s="181" t="s">
        <v>57</v>
      </c>
      <c r="D28" s="182"/>
      <c r="E28" s="181" t="s">
        <v>58</v>
      </c>
      <c r="F28" s="182"/>
      <c r="G28" s="73" t="s">
        <v>57</v>
      </c>
      <c r="H28" s="73" t="s">
        <v>58</v>
      </c>
      <c r="J28" s="44"/>
    </row>
    <row r="29" spans="1:15" x14ac:dyDescent="0.3">
      <c r="B29" s="184"/>
      <c r="C29" s="181" t="s">
        <v>37</v>
      </c>
      <c r="D29" s="182"/>
      <c r="E29" s="181" t="s">
        <v>37</v>
      </c>
      <c r="F29" s="182"/>
      <c r="G29" s="73" t="s">
        <v>37</v>
      </c>
      <c r="H29" s="73" t="s">
        <v>37</v>
      </c>
    </row>
    <row r="30" spans="1:15" x14ac:dyDescent="0.3">
      <c r="B30" s="74" t="s">
        <v>59</v>
      </c>
      <c r="C30" s="172">
        <v>80</v>
      </c>
      <c r="D30" s="173"/>
      <c r="E30" s="172">
        <v>80</v>
      </c>
      <c r="F30" s="173"/>
      <c r="G30" s="75">
        <f>40</f>
        <v>40</v>
      </c>
      <c r="H30" s="75">
        <v>40</v>
      </c>
    </row>
    <row r="31" spans="1:15" x14ac:dyDescent="0.3">
      <c r="B31" s="74" t="s">
        <v>60</v>
      </c>
      <c r="C31" s="172">
        <v>150</v>
      </c>
      <c r="D31" s="173"/>
      <c r="E31" s="172">
        <v>150</v>
      </c>
      <c r="F31" s="173"/>
      <c r="G31" s="75" t="e">
        <f>#REF!+C13</f>
        <v>#REF!</v>
      </c>
      <c r="H31" s="75">
        <f>70</f>
        <v>70</v>
      </c>
    </row>
    <row r="32" spans="1:15" x14ac:dyDescent="0.3">
      <c r="B32" s="76" t="s">
        <v>62</v>
      </c>
      <c r="C32" s="174">
        <v>45</v>
      </c>
      <c r="D32" s="175"/>
      <c r="E32" s="174">
        <v>45</v>
      </c>
      <c r="F32" s="175"/>
      <c r="G32" s="77">
        <f>44+5</f>
        <v>49</v>
      </c>
      <c r="H32" s="77">
        <v>49</v>
      </c>
    </row>
    <row r="33" spans="2:8" x14ac:dyDescent="0.3">
      <c r="B33" s="74" t="s">
        <v>63</v>
      </c>
      <c r="C33" s="172">
        <v>15</v>
      </c>
      <c r="D33" s="173"/>
      <c r="E33" s="172">
        <v>15</v>
      </c>
      <c r="F33" s="173"/>
      <c r="G33" s="75">
        <v>52.5</v>
      </c>
      <c r="H33" s="75">
        <v>52.5</v>
      </c>
    </row>
    <row r="34" spans="2:8" ht="12.75" customHeight="1" x14ac:dyDescent="0.3">
      <c r="B34" s="74" t="s">
        <v>64</v>
      </c>
      <c r="C34" s="172" t="s">
        <v>65</v>
      </c>
      <c r="D34" s="173"/>
      <c r="E34" s="195">
        <v>188</v>
      </c>
      <c r="F34" s="196"/>
      <c r="G34" s="75">
        <v>100</v>
      </c>
      <c r="H34" s="75">
        <v>75</v>
      </c>
    </row>
    <row r="35" spans="2:8" x14ac:dyDescent="0.3">
      <c r="B35" s="74" t="s">
        <v>66</v>
      </c>
      <c r="C35" s="172">
        <v>350</v>
      </c>
      <c r="D35" s="173"/>
      <c r="E35" s="172" t="s">
        <v>67</v>
      </c>
      <c r="F35" s="173"/>
      <c r="G35" s="75">
        <f>16.75+12.5+6+43.8+12+12+3+2.5+12.5</f>
        <v>121.05</v>
      </c>
      <c r="H35" s="90">
        <f>2+2+10+10+10.75+10+15+10</f>
        <v>69.75</v>
      </c>
    </row>
    <row r="36" spans="2:8" x14ac:dyDescent="0.3">
      <c r="B36" s="74" t="s">
        <v>68</v>
      </c>
      <c r="C36" s="172">
        <v>200</v>
      </c>
      <c r="D36" s="173"/>
      <c r="E36" s="172" t="s">
        <v>69</v>
      </c>
      <c r="F36" s="173"/>
      <c r="G36" s="75">
        <f>100+35.7</f>
        <v>135.69999999999999</v>
      </c>
      <c r="H36" s="75">
        <f>100+25</f>
        <v>125</v>
      </c>
    </row>
    <row r="37" spans="2:8" ht="26.4" x14ac:dyDescent="0.3">
      <c r="B37" s="74" t="s">
        <v>70</v>
      </c>
      <c r="C37" s="172">
        <v>15</v>
      </c>
      <c r="D37" s="173"/>
      <c r="E37" s="172">
        <v>15</v>
      </c>
      <c r="F37" s="173"/>
      <c r="G37" s="75">
        <v>20</v>
      </c>
      <c r="H37" s="75">
        <v>37</v>
      </c>
    </row>
    <row r="38" spans="2:8" ht="39.6" x14ac:dyDescent="0.3">
      <c r="B38" s="74" t="s">
        <v>71</v>
      </c>
      <c r="C38" s="172">
        <v>200</v>
      </c>
      <c r="D38" s="173"/>
      <c r="E38" s="172">
        <v>200</v>
      </c>
      <c r="F38" s="173"/>
      <c r="G38" s="75"/>
      <c r="H38" s="75"/>
    </row>
    <row r="39" spans="2:8" ht="26.4" x14ac:dyDescent="0.3">
      <c r="B39" s="74" t="s">
        <v>72</v>
      </c>
      <c r="C39" s="172" t="s">
        <v>73</v>
      </c>
      <c r="D39" s="173"/>
      <c r="E39" s="172">
        <v>70</v>
      </c>
      <c r="F39" s="173"/>
      <c r="G39" s="90">
        <f>150</f>
        <v>150</v>
      </c>
      <c r="H39" s="75">
        <f>81+25</f>
        <v>106</v>
      </c>
    </row>
    <row r="40" spans="2:8" ht="26.4" x14ac:dyDescent="0.3">
      <c r="B40" s="74" t="s">
        <v>74</v>
      </c>
      <c r="C40" s="172" t="s">
        <v>75</v>
      </c>
      <c r="D40" s="173"/>
      <c r="E40" s="172">
        <v>35</v>
      </c>
      <c r="F40" s="173"/>
      <c r="G40" s="75"/>
      <c r="H40" s="75"/>
    </row>
    <row r="41" spans="2:8" x14ac:dyDescent="0.3">
      <c r="B41" s="74" t="s">
        <v>76</v>
      </c>
      <c r="C41" s="172">
        <v>60</v>
      </c>
      <c r="D41" s="173"/>
      <c r="E41" s="172">
        <v>58</v>
      </c>
      <c r="F41" s="173"/>
      <c r="G41" s="75"/>
      <c r="H41" s="75"/>
    </row>
    <row r="42" spans="2:8" x14ac:dyDescent="0.3">
      <c r="B42" s="74" t="s">
        <v>77</v>
      </c>
      <c r="C42" s="172">
        <v>15</v>
      </c>
      <c r="D42" s="173"/>
      <c r="E42" s="172">
        <v>14.7</v>
      </c>
      <c r="F42" s="173"/>
      <c r="G42" s="75"/>
      <c r="H42" s="75"/>
    </row>
    <row r="43" spans="2:8" ht="26.4" x14ac:dyDescent="0.3">
      <c r="B43" s="74" t="s">
        <v>78</v>
      </c>
      <c r="C43" s="172">
        <v>300</v>
      </c>
      <c r="D43" s="173"/>
      <c r="E43" s="172">
        <v>300</v>
      </c>
      <c r="F43" s="173"/>
      <c r="G43" s="75">
        <f>211+100+100</f>
        <v>411</v>
      </c>
      <c r="H43" s="75">
        <f>200+100+100</f>
        <v>400</v>
      </c>
    </row>
    <row r="44" spans="2:8" x14ac:dyDescent="0.3">
      <c r="B44" s="74" t="s">
        <v>81</v>
      </c>
      <c r="C44" s="172">
        <v>10</v>
      </c>
      <c r="D44" s="173"/>
      <c r="E44" s="172">
        <v>9.8000000000000007</v>
      </c>
      <c r="F44" s="173"/>
      <c r="G44" s="75">
        <v>16</v>
      </c>
      <c r="H44" s="90">
        <v>15</v>
      </c>
    </row>
    <row r="45" spans="2:8" ht="26.4" x14ac:dyDescent="0.3">
      <c r="B45" s="74" t="s">
        <v>82</v>
      </c>
      <c r="C45" s="172">
        <v>10</v>
      </c>
      <c r="D45" s="173"/>
      <c r="E45" s="172">
        <v>10</v>
      </c>
      <c r="F45" s="173"/>
      <c r="G45" s="80"/>
      <c r="H45" s="80"/>
    </row>
    <row r="46" spans="2:8" x14ac:dyDescent="0.3">
      <c r="B46" s="74" t="s">
        <v>83</v>
      </c>
      <c r="C46" s="172">
        <v>30</v>
      </c>
      <c r="D46" s="173"/>
      <c r="E46" s="172">
        <v>30</v>
      </c>
      <c r="F46" s="173"/>
      <c r="G46" s="75">
        <f>4.5+5+10</f>
        <v>19.5</v>
      </c>
      <c r="H46" s="75">
        <v>19.5</v>
      </c>
    </row>
    <row r="47" spans="2:8" x14ac:dyDescent="0.3">
      <c r="B47" s="74" t="s">
        <v>84</v>
      </c>
      <c r="C47" s="172">
        <v>15</v>
      </c>
      <c r="D47" s="173"/>
      <c r="E47" s="172">
        <v>15</v>
      </c>
      <c r="F47" s="173"/>
      <c r="G47" s="75">
        <v>10</v>
      </c>
      <c r="H47" s="75">
        <v>10</v>
      </c>
    </row>
    <row r="48" spans="2:8" x14ac:dyDescent="0.3">
      <c r="B48" s="74" t="s">
        <v>87</v>
      </c>
      <c r="C48" s="172">
        <v>40</v>
      </c>
      <c r="D48" s="173"/>
      <c r="E48" s="195">
        <v>40</v>
      </c>
      <c r="F48" s="196"/>
      <c r="G48" s="90">
        <f>20+6</f>
        <v>26</v>
      </c>
      <c r="H48" s="75">
        <v>26</v>
      </c>
    </row>
    <row r="49" spans="2:8" x14ac:dyDescent="0.3">
      <c r="B49" s="74" t="s">
        <v>88</v>
      </c>
      <c r="C49" s="195">
        <v>100</v>
      </c>
      <c r="D49" s="196"/>
      <c r="E49" s="172">
        <v>100</v>
      </c>
      <c r="F49" s="173"/>
      <c r="G49" s="75">
        <v>100</v>
      </c>
      <c r="H49" s="75">
        <v>100</v>
      </c>
    </row>
    <row r="50" spans="2:8" x14ac:dyDescent="0.3">
      <c r="B50" s="74" t="s">
        <v>89</v>
      </c>
      <c r="C50" s="172">
        <v>1</v>
      </c>
      <c r="D50" s="173"/>
      <c r="E50" s="172">
        <v>1</v>
      </c>
      <c r="F50" s="173"/>
      <c r="G50" s="75"/>
      <c r="H50" s="75"/>
    </row>
    <row r="51" spans="2:8" x14ac:dyDescent="0.3">
      <c r="B51" s="74" t="s">
        <v>92</v>
      </c>
      <c r="C51" s="172">
        <v>5</v>
      </c>
      <c r="D51" s="173"/>
      <c r="E51" s="172">
        <v>5</v>
      </c>
      <c r="F51" s="173"/>
      <c r="G51" s="75">
        <v>5</v>
      </c>
      <c r="H51" s="75">
        <v>5</v>
      </c>
    </row>
    <row r="59" spans="2:8" ht="14.4" x14ac:dyDescent="0.3">
      <c r="B59"/>
      <c r="C59"/>
      <c r="D59"/>
      <c r="E59"/>
      <c r="F59"/>
    </row>
    <row r="60" spans="2:8" ht="14.4" x14ac:dyDescent="0.3">
      <c r="B60" s="43"/>
      <c r="C60"/>
      <c r="D60"/>
      <c r="E60"/>
      <c r="F60"/>
    </row>
    <row r="61" spans="2:8" ht="14.4" x14ac:dyDescent="0.3">
      <c r="B61"/>
      <c r="C61"/>
      <c r="D61"/>
      <c r="E61"/>
      <c r="F61"/>
    </row>
    <row r="62" spans="2:8" ht="14.4" x14ac:dyDescent="0.3">
      <c r="B62" s="43"/>
      <c r="C62"/>
      <c r="D62"/>
      <c r="E62"/>
      <c r="F62"/>
    </row>
    <row r="63" spans="2:8" ht="14.4" x14ac:dyDescent="0.3">
      <c r="B63"/>
      <c r="C63"/>
      <c r="D63"/>
      <c r="E63"/>
      <c r="F63"/>
    </row>
    <row r="64" spans="2:8" ht="14.4" x14ac:dyDescent="0.3">
      <c r="B64" s="43"/>
      <c r="C64"/>
      <c r="D64"/>
      <c r="E64"/>
      <c r="F64"/>
    </row>
    <row r="65" spans="2:6" ht="14.4" x14ac:dyDescent="0.3">
      <c r="B65"/>
      <c r="C65"/>
      <c r="D65"/>
      <c r="E65"/>
      <c r="F65"/>
    </row>
    <row r="66" spans="2:6" ht="14.4" x14ac:dyDescent="0.3">
      <c r="B66" s="43"/>
      <c r="C66"/>
      <c r="D66"/>
      <c r="E66"/>
      <c r="F66"/>
    </row>
    <row r="67" spans="2:6" ht="14.4" x14ac:dyDescent="0.3">
      <c r="B67"/>
      <c r="C67"/>
      <c r="D67"/>
      <c r="E67"/>
      <c r="F67"/>
    </row>
    <row r="68" spans="2:6" ht="14.4" x14ac:dyDescent="0.3">
      <c r="B68" s="43"/>
      <c r="C68"/>
      <c r="D68"/>
      <c r="E68"/>
      <c r="F68"/>
    </row>
  </sheetData>
  <sheetProtection formatCells="0" formatColumns="0" formatRows="0" insertColumns="0" insertRows="0" insertHyperlinks="0" deleteColumns="0" deleteRows="0" sort="0" autoFilter="0" pivotTables="0"/>
  <mergeCells count="65">
    <mergeCell ref="E51:F51"/>
    <mergeCell ref="E48:F48"/>
    <mergeCell ref="E41:F41"/>
    <mergeCell ref="E42:F42"/>
    <mergeCell ref="E43:F43"/>
    <mergeCell ref="E49:F49"/>
    <mergeCell ref="E50:F50"/>
    <mergeCell ref="E44:F44"/>
    <mergeCell ref="E45:F45"/>
    <mergeCell ref="E46:F46"/>
    <mergeCell ref="E47:F47"/>
    <mergeCell ref="C48:D48"/>
    <mergeCell ref="C49:D49"/>
    <mergeCell ref="C50:D50"/>
    <mergeCell ref="C51:D51"/>
    <mergeCell ref="E29:F29"/>
    <mergeCell ref="E30:F30"/>
    <mergeCell ref="E31:F31"/>
    <mergeCell ref="E32:F32"/>
    <mergeCell ref="E33:F33"/>
    <mergeCell ref="E35:F35"/>
    <mergeCell ref="E36:F36"/>
    <mergeCell ref="E37:F37"/>
    <mergeCell ref="E38:F38"/>
    <mergeCell ref="E39:F39"/>
    <mergeCell ref="E40:F40"/>
    <mergeCell ref="E34:F34"/>
    <mergeCell ref="C43:D43"/>
    <mergeCell ref="C44:D44"/>
    <mergeCell ref="C45:D45"/>
    <mergeCell ref="C46:D46"/>
    <mergeCell ref="C47:D47"/>
    <mergeCell ref="C38:D38"/>
    <mergeCell ref="C39:D39"/>
    <mergeCell ref="C40:D40"/>
    <mergeCell ref="C41:D41"/>
    <mergeCell ref="C42:D42"/>
    <mergeCell ref="C33:D33"/>
    <mergeCell ref="C34:D34"/>
    <mergeCell ref="C35:D35"/>
    <mergeCell ref="C36:D36"/>
    <mergeCell ref="C37:D37"/>
    <mergeCell ref="L5:O5"/>
    <mergeCell ref="G5:G6"/>
    <mergeCell ref="C30:D30"/>
    <mergeCell ref="C31:D31"/>
    <mergeCell ref="C32:D32"/>
    <mergeCell ref="A7:O7"/>
    <mergeCell ref="A15:O15"/>
    <mergeCell ref="C27:F27"/>
    <mergeCell ref="E28:F28"/>
    <mergeCell ref="B28:B29"/>
    <mergeCell ref="B26:H26"/>
    <mergeCell ref="G27:H27"/>
    <mergeCell ref="C29:D29"/>
    <mergeCell ref="C28:D28"/>
    <mergeCell ref="B21:E22"/>
    <mergeCell ref="F21:H21"/>
    <mergeCell ref="A5:A6"/>
    <mergeCell ref="B23:E23"/>
    <mergeCell ref="B24:E24"/>
    <mergeCell ref="D5:F5"/>
    <mergeCell ref="H5:K5"/>
    <mergeCell ref="C5:C6"/>
    <mergeCell ref="B5:B6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  <rowBreaks count="1" manualBreakCount="1">
    <brk id="25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S61"/>
  <sheetViews>
    <sheetView view="pageBreakPreview" zoomScale="80" zoomScaleNormal="80" zoomScaleSheetLayoutView="80" workbookViewId="0">
      <selection activeCell="A10" sqref="A10:O10"/>
    </sheetView>
  </sheetViews>
  <sheetFormatPr defaultColWidth="9.109375" defaultRowHeight="14.4" x14ac:dyDescent="0.3"/>
  <cols>
    <col min="1" max="1" width="13" style="58" customWidth="1"/>
    <col min="2" max="2" width="28.6640625" style="58" customWidth="1"/>
    <col min="3" max="3" width="15.6640625" style="84" bestFit="1" customWidth="1"/>
    <col min="4" max="5" width="9.109375" style="58"/>
    <col min="6" max="6" width="9.5546875" style="58" bestFit="1" customWidth="1"/>
    <col min="7" max="7" width="13" style="58" customWidth="1"/>
    <col min="8" max="8" width="9.109375" style="58"/>
    <col min="9" max="9" width="9.5546875" style="58" bestFit="1" customWidth="1"/>
    <col min="10" max="11" width="9.109375" style="58"/>
    <col min="12" max="14" width="9.5546875" style="58" bestFit="1" customWidth="1"/>
    <col min="15" max="16384" width="9.109375" style="58"/>
  </cols>
  <sheetData>
    <row r="1" spans="1:19" ht="15.6" x14ac:dyDescent="0.3">
      <c r="A1" s="56" t="s">
        <v>30</v>
      </c>
      <c r="B1" s="57" t="s">
        <v>38</v>
      </c>
    </row>
    <row r="2" spans="1:19" ht="15.6" x14ac:dyDescent="0.3">
      <c r="A2" s="56" t="s">
        <v>32</v>
      </c>
      <c r="B2" s="57" t="s">
        <v>33</v>
      </c>
    </row>
    <row r="3" spans="1:19" ht="15.6" x14ac:dyDescent="0.3">
      <c r="A3" s="56" t="s">
        <v>34</v>
      </c>
      <c r="B3" s="57" t="s">
        <v>35</v>
      </c>
    </row>
    <row r="4" spans="1:19" ht="31.2" x14ac:dyDescent="0.3">
      <c r="A4" s="56" t="s">
        <v>36</v>
      </c>
      <c r="B4" s="57" t="s">
        <v>37</v>
      </c>
    </row>
    <row r="5" spans="1:19" ht="15.6" x14ac:dyDescent="0.3">
      <c r="A5" s="200" t="s">
        <v>25</v>
      </c>
      <c r="B5" s="200" t="s">
        <v>20</v>
      </c>
      <c r="C5" s="203" t="s">
        <v>23</v>
      </c>
      <c r="D5" s="197" t="s">
        <v>28</v>
      </c>
      <c r="E5" s="198"/>
      <c r="F5" s="199"/>
      <c r="G5" s="200" t="s">
        <v>0</v>
      </c>
      <c r="H5" s="197" t="s">
        <v>27</v>
      </c>
      <c r="I5" s="198"/>
      <c r="J5" s="198"/>
      <c r="K5" s="199"/>
      <c r="L5" s="197" t="s">
        <v>26</v>
      </c>
      <c r="M5" s="198"/>
      <c r="N5" s="198"/>
      <c r="O5" s="199"/>
    </row>
    <row r="6" spans="1:19" ht="15.6" x14ac:dyDescent="0.3">
      <c r="A6" s="201"/>
      <c r="B6" s="202"/>
      <c r="C6" s="204"/>
      <c r="D6" s="59" t="s">
        <v>1</v>
      </c>
      <c r="E6" s="59" t="s">
        <v>2</v>
      </c>
      <c r="F6" s="59" t="s">
        <v>3</v>
      </c>
      <c r="G6" s="201"/>
      <c r="H6" s="59" t="s">
        <v>95</v>
      </c>
      <c r="I6" s="59" t="s">
        <v>4</v>
      </c>
      <c r="J6" s="59" t="s">
        <v>5</v>
      </c>
      <c r="K6" s="59" t="s">
        <v>6</v>
      </c>
      <c r="L6" s="59" t="s">
        <v>7</v>
      </c>
      <c r="M6" s="5" t="s">
        <v>122</v>
      </c>
      <c r="N6" s="59" t="s">
        <v>9</v>
      </c>
      <c r="O6" s="59" t="s">
        <v>10</v>
      </c>
    </row>
    <row r="7" spans="1:19" ht="18" x14ac:dyDescent="0.3">
      <c r="A7" s="214" t="s">
        <v>22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81"/>
      <c r="Q7" s="81"/>
      <c r="R7" s="81"/>
      <c r="S7" s="81"/>
    </row>
    <row r="8" spans="1:19" s="149" customFormat="1" ht="43.5" customHeight="1" x14ac:dyDescent="0.3">
      <c r="A8" s="142">
        <v>58</v>
      </c>
      <c r="B8" s="137" t="s">
        <v>105</v>
      </c>
      <c r="C8" s="139">
        <v>250</v>
      </c>
      <c r="D8" s="148">
        <v>2</v>
      </c>
      <c r="E8" s="148">
        <v>5.4</v>
      </c>
      <c r="F8" s="148">
        <v>12.8</v>
      </c>
      <c r="G8" s="148">
        <v>111</v>
      </c>
      <c r="H8" s="148">
        <v>0.05</v>
      </c>
      <c r="I8" s="148">
        <v>0</v>
      </c>
      <c r="J8" s="148"/>
      <c r="K8" s="148">
        <f>9.6/4</f>
        <v>2.4</v>
      </c>
      <c r="L8" s="148">
        <v>40.71</v>
      </c>
      <c r="M8" s="148">
        <v>0.05</v>
      </c>
      <c r="N8" s="148">
        <v>22.9</v>
      </c>
      <c r="O8" s="148">
        <v>1.08</v>
      </c>
    </row>
    <row r="9" spans="1:19" s="23" customFormat="1" ht="13.8" x14ac:dyDescent="0.3">
      <c r="A9" s="135">
        <v>436</v>
      </c>
      <c r="B9" s="6" t="s">
        <v>119</v>
      </c>
      <c r="C9" s="135">
        <v>300</v>
      </c>
      <c r="D9" s="12">
        <v>8.9</v>
      </c>
      <c r="E9" s="12">
        <v>4.9000000000000004</v>
      </c>
      <c r="F9" s="12">
        <v>10.8</v>
      </c>
      <c r="G9" s="12">
        <v>320</v>
      </c>
      <c r="H9" s="12">
        <v>0.1</v>
      </c>
      <c r="I9" s="12">
        <v>10.1</v>
      </c>
      <c r="J9" s="12">
        <v>0.02</v>
      </c>
      <c r="K9" s="12">
        <v>0.4</v>
      </c>
      <c r="L9" s="12">
        <v>19.8</v>
      </c>
      <c r="M9" s="12">
        <v>204.9</v>
      </c>
      <c r="N9" s="12">
        <v>39.6</v>
      </c>
      <c r="O9" s="12">
        <v>2.9</v>
      </c>
    </row>
    <row r="10" spans="1:19" s="10" customFormat="1" x14ac:dyDescent="0.3">
      <c r="A10" s="40">
        <v>310</v>
      </c>
      <c r="B10" s="6" t="s">
        <v>129</v>
      </c>
      <c r="C10" s="91">
        <v>200</v>
      </c>
      <c r="D10" s="92">
        <v>0.5</v>
      </c>
      <c r="E10" s="91">
        <v>0.1</v>
      </c>
      <c r="F10" s="92">
        <v>30.9</v>
      </c>
      <c r="G10" s="91">
        <v>123</v>
      </c>
      <c r="H10" s="92">
        <v>0.01</v>
      </c>
      <c r="I10" s="91">
        <v>0.11</v>
      </c>
      <c r="J10" s="92" t="s">
        <v>130</v>
      </c>
      <c r="K10" s="91" t="s">
        <v>130</v>
      </c>
      <c r="L10" s="92">
        <v>14.19</v>
      </c>
      <c r="M10" s="91">
        <v>0.19</v>
      </c>
      <c r="N10" s="92">
        <v>8.07</v>
      </c>
      <c r="O10" s="93">
        <v>0.89</v>
      </c>
    </row>
    <row r="11" spans="1:19" s="23" customFormat="1" ht="13.8" x14ac:dyDescent="0.3">
      <c r="A11" s="135">
        <v>1.5</v>
      </c>
      <c r="B11" s="6" t="s">
        <v>14</v>
      </c>
      <c r="C11" s="135">
        <v>50</v>
      </c>
      <c r="D11" s="12">
        <v>2.2400000000000002</v>
      </c>
      <c r="E11" s="12">
        <v>0.88</v>
      </c>
      <c r="F11" s="12">
        <v>19.760000000000002</v>
      </c>
      <c r="G11" s="12">
        <v>91.96</v>
      </c>
      <c r="H11" s="12">
        <v>0.04</v>
      </c>
      <c r="I11" s="12"/>
      <c r="J11" s="12"/>
      <c r="K11" s="12">
        <v>0.36</v>
      </c>
      <c r="L11" s="12">
        <v>9.1999999999999993</v>
      </c>
      <c r="M11" s="12">
        <v>42.4</v>
      </c>
      <c r="N11" s="12">
        <v>10</v>
      </c>
      <c r="O11" s="12">
        <v>1.24</v>
      </c>
    </row>
    <row r="12" spans="1:19" s="10" customFormat="1" x14ac:dyDescent="0.3">
      <c r="A12" s="135">
        <v>1.6</v>
      </c>
      <c r="B12" s="6" t="s">
        <v>60</v>
      </c>
      <c r="C12" s="135">
        <v>50</v>
      </c>
      <c r="D12" s="12">
        <v>3.16</v>
      </c>
      <c r="E12" s="12">
        <v>0.4</v>
      </c>
      <c r="F12" s="12">
        <v>19.32</v>
      </c>
      <c r="G12" s="12">
        <v>93.52</v>
      </c>
      <c r="H12" s="12">
        <v>0.04</v>
      </c>
      <c r="I12" s="12"/>
      <c r="J12" s="12"/>
      <c r="K12" s="12">
        <v>0.52</v>
      </c>
      <c r="L12" s="12">
        <v>9.1999999999999993</v>
      </c>
      <c r="M12" s="12">
        <v>34.799999999999997</v>
      </c>
      <c r="N12" s="12">
        <v>13.2</v>
      </c>
      <c r="O12" s="12">
        <v>0.44</v>
      </c>
    </row>
    <row r="13" spans="1:19" s="62" customFormat="1" x14ac:dyDescent="0.3">
      <c r="A13" s="98" t="s">
        <v>11</v>
      </c>
      <c r="B13" s="99"/>
      <c r="C13" s="100"/>
      <c r="D13" s="101">
        <f>SUM(D8:D12)</f>
        <v>16.8</v>
      </c>
      <c r="E13" s="101">
        <f>SUM(E8:E12)</f>
        <v>11.680000000000001</v>
      </c>
      <c r="F13" s="101">
        <f>SUM(F8:F12)</f>
        <v>93.580000000000013</v>
      </c>
      <c r="G13" s="101">
        <f>SUM(G8:G12)</f>
        <v>739.48</v>
      </c>
      <c r="H13" s="102"/>
      <c r="I13" s="102"/>
      <c r="J13" s="102"/>
      <c r="K13" s="102"/>
      <c r="L13" s="102"/>
      <c r="M13" s="102"/>
      <c r="N13" s="102"/>
      <c r="O13" s="102"/>
    </row>
    <row r="14" spans="1:19" s="62" customFormat="1" ht="18" x14ac:dyDescent="0.3">
      <c r="A14" s="214" t="s">
        <v>21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5"/>
    </row>
    <row r="15" spans="1:19" s="138" customFormat="1" ht="13.8" x14ac:dyDescent="0.3">
      <c r="A15" s="63"/>
      <c r="B15" s="137" t="s">
        <v>101</v>
      </c>
      <c r="C15" s="139">
        <v>100</v>
      </c>
      <c r="D15" s="140">
        <v>8.5</v>
      </c>
      <c r="E15" s="141">
        <v>11.3</v>
      </c>
      <c r="F15" s="140">
        <v>69.7</v>
      </c>
      <c r="G15" s="140">
        <v>414.5</v>
      </c>
      <c r="H15" s="140">
        <v>0.1</v>
      </c>
      <c r="I15" s="140"/>
      <c r="J15" s="140">
        <v>65</v>
      </c>
      <c r="K15" s="140">
        <v>1.3</v>
      </c>
      <c r="L15" s="140">
        <v>41</v>
      </c>
      <c r="M15" s="140">
        <v>87</v>
      </c>
      <c r="N15" s="140">
        <v>15</v>
      </c>
      <c r="O15" s="140">
        <v>1</v>
      </c>
    </row>
    <row r="16" spans="1:19" s="62" customFormat="1" x14ac:dyDescent="0.3">
      <c r="A16" s="60">
        <v>338</v>
      </c>
      <c r="B16" s="6" t="s">
        <v>17</v>
      </c>
      <c r="C16" s="85">
        <v>150</v>
      </c>
      <c r="D16" s="61">
        <v>0.4</v>
      </c>
      <c r="E16" s="61">
        <v>0.4</v>
      </c>
      <c r="F16" s="61">
        <v>9.8000000000000007</v>
      </c>
      <c r="G16" s="61">
        <v>47</v>
      </c>
      <c r="H16" s="61">
        <v>0.03</v>
      </c>
      <c r="I16" s="61">
        <v>10</v>
      </c>
      <c r="J16" s="61"/>
      <c r="K16" s="61">
        <v>0.2</v>
      </c>
      <c r="L16" s="61">
        <v>16</v>
      </c>
      <c r="M16" s="61">
        <v>11</v>
      </c>
      <c r="N16" s="61">
        <v>9</v>
      </c>
      <c r="O16" s="61">
        <v>2.2000000000000002</v>
      </c>
    </row>
    <row r="17" spans="1:15" x14ac:dyDescent="0.3">
      <c r="A17" s="103" t="s">
        <v>11</v>
      </c>
      <c r="B17" s="104"/>
      <c r="C17" s="105"/>
      <c r="D17" s="106">
        <f>SUM(D15:D16)</f>
        <v>8.9</v>
      </c>
      <c r="E17" s="106">
        <f>SUM(E15:E16)</f>
        <v>11.700000000000001</v>
      </c>
      <c r="F17" s="106">
        <f>SUM(F15:F16)</f>
        <v>79.5</v>
      </c>
      <c r="G17" s="106">
        <f>SUM(G15:G16)</f>
        <v>461.5</v>
      </c>
      <c r="H17" s="107"/>
      <c r="I17" s="107"/>
      <c r="J17" s="107"/>
      <c r="K17" s="107"/>
      <c r="L17" s="107"/>
      <c r="M17" s="107"/>
      <c r="N17" s="107"/>
      <c r="O17" s="107"/>
    </row>
    <row r="18" spans="1:15" ht="15" customHeight="1" x14ac:dyDescent="0.3">
      <c r="A18" s="65" t="s">
        <v>15</v>
      </c>
      <c r="B18" s="64"/>
      <c r="C18" s="86"/>
      <c r="D18" s="66">
        <f>SUM(D13,D17)</f>
        <v>25.700000000000003</v>
      </c>
      <c r="E18" s="66">
        <f>SUM(E13,E17)</f>
        <v>23.380000000000003</v>
      </c>
      <c r="F18" s="66">
        <f>SUM(F13,F17)</f>
        <v>173.08</v>
      </c>
      <c r="G18" s="66">
        <f>SUM(G13,G17)</f>
        <v>1200.98</v>
      </c>
      <c r="H18" s="67"/>
      <c r="I18" s="67"/>
      <c r="J18" s="67"/>
      <c r="K18" s="67"/>
      <c r="L18" s="67"/>
      <c r="M18" s="67"/>
      <c r="N18" s="67"/>
      <c r="O18" s="67"/>
    </row>
    <row r="19" spans="1:15" ht="15" thickBot="1" x14ac:dyDescent="0.35"/>
    <row r="20" spans="1:15" ht="40.200000000000003" thickBot="1" x14ac:dyDescent="0.35">
      <c r="B20" s="205" t="s">
        <v>44</v>
      </c>
      <c r="C20" s="206"/>
      <c r="D20" s="206"/>
      <c r="E20" s="206"/>
      <c r="F20" s="209" t="s">
        <v>45</v>
      </c>
      <c r="G20" s="210"/>
      <c r="H20" s="211"/>
      <c r="I20" s="68" t="s">
        <v>46</v>
      </c>
    </row>
    <row r="21" spans="1:15" ht="15" thickBot="1" x14ac:dyDescent="0.35">
      <c r="B21" s="207"/>
      <c r="C21" s="208"/>
      <c r="D21" s="208"/>
      <c r="E21" s="208"/>
      <c r="F21" s="69" t="s">
        <v>1</v>
      </c>
      <c r="G21" s="69" t="s">
        <v>2</v>
      </c>
      <c r="H21" s="69" t="s">
        <v>3</v>
      </c>
      <c r="I21" s="70"/>
    </row>
    <row r="22" spans="1:15" ht="15" thickBot="1" x14ac:dyDescent="0.35">
      <c r="B22" s="212" t="s">
        <v>48</v>
      </c>
      <c r="C22" s="213"/>
      <c r="D22" s="213"/>
      <c r="E22" s="213"/>
      <c r="F22" s="69" t="s">
        <v>49</v>
      </c>
      <c r="G22" s="69" t="s">
        <v>50</v>
      </c>
      <c r="H22" s="69" t="s">
        <v>51</v>
      </c>
      <c r="I22" s="34" t="s">
        <v>104</v>
      </c>
    </row>
    <row r="23" spans="1:15" ht="15" thickBot="1" x14ac:dyDescent="0.35">
      <c r="B23" s="212" t="s">
        <v>47</v>
      </c>
      <c r="C23" s="213"/>
      <c r="D23" s="213"/>
      <c r="E23" s="213"/>
      <c r="F23" s="71">
        <f>D18</f>
        <v>25.700000000000003</v>
      </c>
      <c r="G23" s="71">
        <f>E18</f>
        <v>23.380000000000003</v>
      </c>
      <c r="H23" s="71">
        <f>F18</f>
        <v>173.08</v>
      </c>
      <c r="I23" s="71">
        <f>G18</f>
        <v>1200.98</v>
      </c>
    </row>
    <row r="25" spans="1:15" ht="40.5" customHeight="1" x14ac:dyDescent="0.3">
      <c r="A25" s="81"/>
      <c r="B25" s="185" t="s">
        <v>93</v>
      </c>
      <c r="C25" s="185"/>
      <c r="D25" s="185"/>
      <c r="E25" s="185"/>
      <c r="F25" s="185"/>
      <c r="G25" s="185"/>
      <c r="H25" s="185"/>
      <c r="J25" s="56" t="s">
        <v>30</v>
      </c>
      <c r="K25" s="57" t="s">
        <v>38</v>
      </c>
    </row>
    <row r="26" spans="1:15" ht="23.25" customHeight="1" x14ac:dyDescent="0.3">
      <c r="A26" s="81"/>
      <c r="B26" s="73" t="s">
        <v>55</v>
      </c>
      <c r="C26" s="180" t="s">
        <v>56</v>
      </c>
      <c r="D26" s="180"/>
      <c r="E26" s="180"/>
      <c r="F26" s="180"/>
      <c r="G26" s="186" t="s">
        <v>94</v>
      </c>
      <c r="H26" s="187"/>
      <c r="J26" s="56" t="s">
        <v>32</v>
      </c>
      <c r="K26" s="57" t="s">
        <v>33</v>
      </c>
    </row>
    <row r="27" spans="1:15" ht="28.8" x14ac:dyDescent="0.3">
      <c r="A27" s="81"/>
      <c r="B27" s="183"/>
      <c r="C27" s="181" t="s">
        <v>57</v>
      </c>
      <c r="D27" s="182"/>
      <c r="E27" s="181" t="s">
        <v>58</v>
      </c>
      <c r="F27" s="182"/>
      <c r="G27" s="73" t="s">
        <v>57</v>
      </c>
      <c r="H27" s="73" t="s">
        <v>58</v>
      </c>
      <c r="J27" s="56" t="s">
        <v>34</v>
      </c>
      <c r="K27" s="57" t="s">
        <v>35</v>
      </c>
    </row>
    <row r="28" spans="1:15" ht="24.75" customHeight="1" x14ac:dyDescent="0.3">
      <c r="A28" s="81"/>
      <c r="B28" s="184"/>
      <c r="C28" s="181" t="s">
        <v>37</v>
      </c>
      <c r="D28" s="182"/>
      <c r="E28" s="181" t="s">
        <v>37</v>
      </c>
      <c r="F28" s="182"/>
      <c r="G28" s="73" t="s">
        <v>37</v>
      </c>
      <c r="H28" s="73" t="s">
        <v>37</v>
      </c>
      <c r="J28" s="56" t="s">
        <v>36</v>
      </c>
      <c r="K28" s="57" t="s">
        <v>37</v>
      </c>
    </row>
    <row r="29" spans="1:15" x14ac:dyDescent="0.3">
      <c r="A29" s="81"/>
      <c r="B29" s="74" t="s">
        <v>59</v>
      </c>
      <c r="C29" s="172">
        <v>80</v>
      </c>
      <c r="D29" s="173"/>
      <c r="E29" s="172">
        <v>80</v>
      </c>
      <c r="F29" s="173"/>
      <c r="G29" s="75">
        <v>40</v>
      </c>
      <c r="H29" s="75">
        <v>40</v>
      </c>
    </row>
    <row r="30" spans="1:15" x14ac:dyDescent="0.3">
      <c r="A30" s="81"/>
      <c r="B30" s="74" t="s">
        <v>60</v>
      </c>
      <c r="C30" s="172">
        <v>150</v>
      </c>
      <c r="D30" s="173"/>
      <c r="E30" s="172">
        <v>150</v>
      </c>
      <c r="F30" s="173"/>
      <c r="G30" s="75">
        <v>100</v>
      </c>
      <c r="H30" s="75">
        <v>100</v>
      </c>
    </row>
    <row r="31" spans="1:15" x14ac:dyDescent="0.3">
      <c r="A31" s="81"/>
      <c r="B31" s="74" t="s">
        <v>61</v>
      </c>
      <c r="C31" s="172">
        <v>15</v>
      </c>
      <c r="D31" s="173"/>
      <c r="E31" s="172">
        <v>15</v>
      </c>
      <c r="F31" s="173"/>
      <c r="G31" s="75">
        <f>78+11.5</f>
        <v>89.5</v>
      </c>
      <c r="H31" s="75">
        <f>78+11.5</f>
        <v>89.5</v>
      </c>
    </row>
    <row r="32" spans="1:15" x14ac:dyDescent="0.3">
      <c r="A32" s="81"/>
      <c r="B32" s="76" t="s">
        <v>62</v>
      </c>
      <c r="C32" s="174">
        <v>45</v>
      </c>
      <c r="D32" s="175"/>
      <c r="E32" s="174">
        <v>45</v>
      </c>
      <c r="F32" s="175"/>
      <c r="G32" s="77"/>
      <c r="H32" s="77"/>
    </row>
    <row r="33" spans="1:8" x14ac:dyDescent="0.3">
      <c r="A33" s="81"/>
      <c r="B33" s="74" t="s">
        <v>63</v>
      </c>
      <c r="C33" s="172">
        <v>15</v>
      </c>
      <c r="D33" s="173"/>
      <c r="E33" s="172">
        <v>15</v>
      </c>
      <c r="F33" s="173"/>
      <c r="G33" s="75"/>
      <c r="H33" s="75"/>
    </row>
    <row r="34" spans="1:8" x14ac:dyDescent="0.3">
      <c r="A34" s="81"/>
      <c r="B34" s="74" t="s">
        <v>64</v>
      </c>
      <c r="C34" s="172" t="s">
        <v>65</v>
      </c>
      <c r="D34" s="173"/>
      <c r="E34" s="195">
        <v>188</v>
      </c>
      <c r="F34" s="196"/>
      <c r="G34" s="75">
        <f>171+27+28.9</f>
        <v>226.9</v>
      </c>
      <c r="H34" s="75">
        <f>20+21+129</f>
        <v>170</v>
      </c>
    </row>
    <row r="35" spans="1:8" x14ac:dyDescent="0.3">
      <c r="A35" s="81"/>
      <c r="B35" s="74" t="s">
        <v>66</v>
      </c>
      <c r="C35" s="172">
        <v>350</v>
      </c>
      <c r="D35" s="173"/>
      <c r="E35" s="172" t="s">
        <v>67</v>
      </c>
      <c r="F35" s="173"/>
      <c r="G35" s="75">
        <f>50+25+12.5+3.25+12+7.5+19.1+12.6+18.8+21.4+18.8+23+4+2+10+10</f>
        <v>249.95000000000002</v>
      </c>
      <c r="H35" s="90">
        <f>40+20+10+2.5+10+7.5+15+10+15+15+15+18+3+1+8+10</f>
        <v>200</v>
      </c>
    </row>
    <row r="36" spans="1:8" x14ac:dyDescent="0.3">
      <c r="A36" s="81"/>
      <c r="B36" s="74" t="s">
        <v>68</v>
      </c>
      <c r="C36" s="172">
        <v>200</v>
      </c>
      <c r="D36" s="173"/>
      <c r="E36" s="172" t="s">
        <v>69</v>
      </c>
      <c r="F36" s="173"/>
      <c r="G36" s="75">
        <f>100+21+8</f>
        <v>129</v>
      </c>
      <c r="H36" s="75">
        <v>129</v>
      </c>
    </row>
    <row r="37" spans="1:8" ht="39.6" x14ac:dyDescent="0.3">
      <c r="A37" s="81"/>
      <c r="B37" s="74" t="s">
        <v>71</v>
      </c>
      <c r="C37" s="172">
        <v>200</v>
      </c>
      <c r="D37" s="173"/>
      <c r="E37" s="172">
        <v>200</v>
      </c>
      <c r="F37" s="173"/>
      <c r="G37" s="75">
        <v>200</v>
      </c>
      <c r="H37" s="75">
        <v>200</v>
      </c>
    </row>
    <row r="38" spans="1:8" ht="26.4" x14ac:dyDescent="0.3">
      <c r="A38" s="81"/>
      <c r="B38" s="74" t="s">
        <v>72</v>
      </c>
      <c r="C38" s="172"/>
      <c r="D38" s="173"/>
      <c r="E38" s="172"/>
      <c r="F38" s="173"/>
      <c r="G38" s="75"/>
      <c r="H38" s="75"/>
    </row>
    <row r="39" spans="1:8" ht="26.4" x14ac:dyDescent="0.3">
      <c r="A39" s="81"/>
      <c r="B39" s="74" t="s">
        <v>74</v>
      </c>
      <c r="C39" s="172" t="s">
        <v>75</v>
      </c>
      <c r="D39" s="173"/>
      <c r="E39" s="172">
        <v>35</v>
      </c>
      <c r="F39" s="173"/>
      <c r="G39" s="75"/>
      <c r="H39" s="75"/>
    </row>
    <row r="40" spans="1:8" x14ac:dyDescent="0.3">
      <c r="A40" s="81"/>
      <c r="B40" s="74" t="s">
        <v>76</v>
      </c>
      <c r="C40" s="172">
        <v>60</v>
      </c>
      <c r="D40" s="173"/>
      <c r="E40" s="172">
        <v>58</v>
      </c>
      <c r="F40" s="173"/>
      <c r="G40" s="75">
        <v>123</v>
      </c>
      <c r="H40" s="75">
        <v>61</v>
      </c>
    </row>
    <row r="41" spans="1:8" x14ac:dyDescent="0.3">
      <c r="A41" s="81"/>
      <c r="B41" s="74" t="s">
        <v>77</v>
      </c>
      <c r="C41" s="172"/>
      <c r="D41" s="173"/>
      <c r="E41" s="172"/>
      <c r="F41" s="173"/>
      <c r="G41" s="75"/>
      <c r="H41" s="75"/>
    </row>
    <row r="42" spans="1:8" ht="26.4" x14ac:dyDescent="0.3">
      <c r="A42" s="81"/>
      <c r="B42" s="74" t="s">
        <v>78</v>
      </c>
      <c r="C42" s="172">
        <v>300</v>
      </c>
      <c r="D42" s="173"/>
      <c r="E42" s="172">
        <v>300</v>
      </c>
      <c r="F42" s="173"/>
      <c r="G42" s="75">
        <f>78+24</f>
        <v>102</v>
      </c>
      <c r="H42" s="75">
        <f>78+22.5</f>
        <v>100.5</v>
      </c>
    </row>
    <row r="43" spans="1:8" ht="26.4" x14ac:dyDescent="0.3">
      <c r="A43" s="81"/>
      <c r="B43" s="74" t="s">
        <v>79</v>
      </c>
      <c r="C43" s="172"/>
      <c r="D43" s="173"/>
      <c r="E43" s="172"/>
      <c r="F43" s="173"/>
      <c r="G43" s="75"/>
      <c r="H43" s="75"/>
    </row>
    <row r="44" spans="1:8" ht="26.4" x14ac:dyDescent="0.3">
      <c r="A44" s="81"/>
      <c r="B44" s="74" t="s">
        <v>80</v>
      </c>
      <c r="C44" s="172"/>
      <c r="D44" s="173"/>
      <c r="E44" s="172"/>
      <c r="F44" s="173"/>
      <c r="G44" s="75"/>
      <c r="H44" s="75"/>
    </row>
    <row r="45" spans="1:8" x14ac:dyDescent="0.3">
      <c r="A45" s="81"/>
      <c r="B45" s="74" t="s">
        <v>81</v>
      </c>
      <c r="C45" s="172">
        <v>22</v>
      </c>
      <c r="D45" s="173"/>
      <c r="E45" s="172">
        <v>20</v>
      </c>
      <c r="F45" s="173"/>
      <c r="G45" s="75"/>
      <c r="H45" s="90"/>
    </row>
    <row r="46" spans="1:8" ht="26.4" x14ac:dyDescent="0.3">
      <c r="A46" s="81"/>
      <c r="B46" s="74" t="s">
        <v>82</v>
      </c>
      <c r="C46" s="172"/>
      <c r="D46" s="173"/>
      <c r="E46" s="172"/>
      <c r="F46" s="173"/>
      <c r="G46" s="80"/>
      <c r="H46" s="80"/>
    </row>
    <row r="47" spans="1:8" x14ac:dyDescent="0.3">
      <c r="A47" s="81"/>
      <c r="B47" s="74" t="s">
        <v>83</v>
      </c>
      <c r="C47" s="172">
        <v>30</v>
      </c>
      <c r="D47" s="173"/>
      <c r="E47" s="172">
        <v>30</v>
      </c>
      <c r="F47" s="173"/>
      <c r="G47" s="75">
        <f>10+5.25</f>
        <v>15.25</v>
      </c>
      <c r="H47" s="75">
        <v>15.25</v>
      </c>
    </row>
    <row r="48" spans="1:8" x14ac:dyDescent="0.3">
      <c r="A48" s="81"/>
      <c r="B48" s="74" t="s">
        <v>84</v>
      </c>
      <c r="C48" s="172">
        <v>15</v>
      </c>
      <c r="D48" s="173"/>
      <c r="E48" s="172">
        <v>15</v>
      </c>
      <c r="F48" s="173"/>
      <c r="G48" s="90">
        <f>9+5+10</f>
        <v>24</v>
      </c>
      <c r="H48" s="75">
        <v>24</v>
      </c>
    </row>
    <row r="49" spans="1:8" x14ac:dyDescent="0.3">
      <c r="A49" s="81"/>
      <c r="B49" s="74" t="s">
        <v>85</v>
      </c>
      <c r="C49" s="172"/>
      <c r="D49" s="173"/>
      <c r="E49" s="172"/>
      <c r="F49" s="173"/>
      <c r="G49" s="75"/>
      <c r="H49" s="75"/>
    </row>
    <row r="50" spans="1:8" x14ac:dyDescent="0.3">
      <c r="A50" s="81"/>
      <c r="B50" s="74" t="s">
        <v>87</v>
      </c>
      <c r="C50" s="172">
        <v>40</v>
      </c>
      <c r="D50" s="173"/>
      <c r="E50" s="195">
        <v>40</v>
      </c>
      <c r="F50" s="196"/>
      <c r="G50" s="75">
        <f>2.75+6+2+1</f>
        <v>11.75</v>
      </c>
      <c r="H50" s="75">
        <v>11.75</v>
      </c>
    </row>
    <row r="51" spans="1:8" x14ac:dyDescent="0.3">
      <c r="A51" s="81"/>
      <c r="B51" s="74" t="s">
        <v>88</v>
      </c>
      <c r="C51" s="195">
        <v>100</v>
      </c>
      <c r="D51" s="196"/>
      <c r="E51" s="172">
        <v>100</v>
      </c>
      <c r="F51" s="173"/>
      <c r="G51" s="75">
        <v>100</v>
      </c>
      <c r="H51" s="75">
        <v>100</v>
      </c>
    </row>
    <row r="52" spans="1:8" x14ac:dyDescent="0.3">
      <c r="A52" s="81"/>
      <c r="B52" s="74" t="s">
        <v>89</v>
      </c>
      <c r="C52" s="172">
        <v>1</v>
      </c>
      <c r="D52" s="173"/>
      <c r="E52" s="172">
        <v>1</v>
      </c>
      <c r="F52" s="173"/>
      <c r="G52" s="75">
        <v>1</v>
      </c>
      <c r="H52" s="75">
        <v>1</v>
      </c>
    </row>
    <row r="53" spans="1:8" x14ac:dyDescent="0.3">
      <c r="A53" s="81"/>
      <c r="B53" s="74" t="s">
        <v>90</v>
      </c>
      <c r="C53" s="172"/>
      <c r="D53" s="173"/>
      <c r="E53" s="172"/>
      <c r="F53" s="173"/>
      <c r="G53" s="75"/>
      <c r="H53" s="75"/>
    </row>
    <row r="54" spans="1:8" x14ac:dyDescent="0.3">
      <c r="A54" s="81"/>
      <c r="B54" s="74" t="s">
        <v>91</v>
      </c>
      <c r="C54" s="172"/>
      <c r="D54" s="173"/>
      <c r="E54" s="172"/>
      <c r="F54" s="173"/>
      <c r="G54" s="75"/>
      <c r="H54" s="75"/>
    </row>
    <row r="55" spans="1:8" x14ac:dyDescent="0.3">
      <c r="A55" s="81"/>
      <c r="B55" s="74" t="s">
        <v>92</v>
      </c>
      <c r="C55" s="172">
        <v>5</v>
      </c>
      <c r="D55" s="173"/>
      <c r="E55" s="172">
        <v>5</v>
      </c>
      <c r="F55" s="173"/>
      <c r="G55" s="75">
        <f>1.5+0.8+1</f>
        <v>3.3</v>
      </c>
      <c r="H55" s="75">
        <v>3.3</v>
      </c>
    </row>
    <row r="56" spans="1:8" x14ac:dyDescent="0.3">
      <c r="A56" s="81"/>
      <c r="B56" s="81"/>
      <c r="C56" s="87"/>
      <c r="D56" s="81"/>
      <c r="E56" s="81"/>
      <c r="F56" s="81"/>
      <c r="G56" s="82"/>
      <c r="H56" s="81"/>
    </row>
    <row r="57" spans="1:8" x14ac:dyDescent="0.3">
      <c r="A57" s="81"/>
      <c r="B57" s="81"/>
      <c r="C57" s="87"/>
      <c r="D57" s="81"/>
      <c r="E57" s="81"/>
      <c r="F57" s="81"/>
      <c r="G57" s="81"/>
      <c r="H57" s="81"/>
    </row>
    <row r="58" spans="1:8" x14ac:dyDescent="0.3">
      <c r="A58" s="81"/>
      <c r="B58" s="81"/>
      <c r="C58" s="87"/>
      <c r="D58" s="81"/>
      <c r="E58" s="81"/>
      <c r="F58" s="81"/>
      <c r="G58" s="81"/>
      <c r="H58" s="81"/>
    </row>
    <row r="59" spans="1:8" x14ac:dyDescent="0.3">
      <c r="A59" s="81"/>
      <c r="B59" s="81"/>
      <c r="C59" s="87"/>
      <c r="D59" s="81"/>
      <c r="E59" s="81"/>
      <c r="F59" s="81"/>
      <c r="G59" s="81"/>
      <c r="H59" s="81"/>
    </row>
    <row r="60" spans="1:8" x14ac:dyDescent="0.3">
      <c r="A60" s="81"/>
      <c r="B60" s="81"/>
      <c r="C60" s="87"/>
      <c r="D60" s="81"/>
      <c r="E60" s="81"/>
      <c r="F60" s="81"/>
      <c r="G60" s="81"/>
      <c r="H60" s="81"/>
    </row>
    <row r="61" spans="1:8" x14ac:dyDescent="0.3">
      <c r="A61" s="81"/>
      <c r="B61" s="81"/>
      <c r="C61" s="87"/>
      <c r="D61" s="81"/>
      <c r="E61" s="81"/>
      <c r="F61" s="81"/>
      <c r="G61" s="81"/>
      <c r="H61" s="81"/>
    </row>
  </sheetData>
  <sheetProtection formatCells="0" formatColumns="0" formatRows="0" insertColumns="0" insertRows="0" insertHyperlinks="0" deleteColumns="0" deleteRows="0" sort="0" autoFilter="0" pivotTables="0"/>
  <mergeCells count="75">
    <mergeCell ref="E29:F29"/>
    <mergeCell ref="E34:F34"/>
    <mergeCell ref="E33:F33"/>
    <mergeCell ref="E32:F32"/>
    <mergeCell ref="E31:F31"/>
    <mergeCell ref="E30:F30"/>
    <mergeCell ref="E38:F38"/>
    <mergeCell ref="E37:F37"/>
    <mergeCell ref="E36:F36"/>
    <mergeCell ref="E35:F35"/>
    <mergeCell ref="E43:F43"/>
    <mergeCell ref="E42:F42"/>
    <mergeCell ref="E41:F41"/>
    <mergeCell ref="E40:F40"/>
    <mergeCell ref="E39:F39"/>
    <mergeCell ref="E46:F46"/>
    <mergeCell ref="E47:F47"/>
    <mergeCell ref="E44:F44"/>
    <mergeCell ref="E45:F45"/>
    <mergeCell ref="E49:F49"/>
    <mergeCell ref="E48:F48"/>
    <mergeCell ref="E52:F52"/>
    <mergeCell ref="E51:F51"/>
    <mergeCell ref="E50:F50"/>
    <mergeCell ref="C53:D53"/>
    <mergeCell ref="C55:D55"/>
    <mergeCell ref="C54:D54"/>
    <mergeCell ref="E55:F55"/>
    <mergeCell ref="E54:F54"/>
    <mergeCell ref="E53:F53"/>
    <mergeCell ref="C48:D48"/>
    <mergeCell ref="C49:D49"/>
    <mergeCell ref="C50:D50"/>
    <mergeCell ref="C51:D51"/>
    <mergeCell ref="C52:D52"/>
    <mergeCell ref="C43:D43"/>
    <mergeCell ref="C44:D44"/>
    <mergeCell ref="C45:D45"/>
    <mergeCell ref="C46:D46"/>
    <mergeCell ref="C47:D47"/>
    <mergeCell ref="C38:D38"/>
    <mergeCell ref="C39:D39"/>
    <mergeCell ref="C40:D40"/>
    <mergeCell ref="C41:D41"/>
    <mergeCell ref="C42:D42"/>
    <mergeCell ref="C34:D34"/>
    <mergeCell ref="C35:D35"/>
    <mergeCell ref="C36:D36"/>
    <mergeCell ref="C37:D37"/>
    <mergeCell ref="C29:D29"/>
    <mergeCell ref="C30:D30"/>
    <mergeCell ref="C31:D31"/>
    <mergeCell ref="C33:D33"/>
    <mergeCell ref="C32:D32"/>
    <mergeCell ref="B25:H25"/>
    <mergeCell ref="C26:F26"/>
    <mergeCell ref="B27:B28"/>
    <mergeCell ref="C27:D27"/>
    <mergeCell ref="E27:F27"/>
    <mergeCell ref="G26:H26"/>
    <mergeCell ref="C28:D28"/>
    <mergeCell ref="E28:F28"/>
    <mergeCell ref="B20:E21"/>
    <mergeCell ref="F20:H20"/>
    <mergeCell ref="B22:E22"/>
    <mergeCell ref="B23:E23"/>
    <mergeCell ref="A7:O7"/>
    <mergeCell ref="A14:O14"/>
    <mergeCell ref="H5:K5"/>
    <mergeCell ref="L5:O5"/>
    <mergeCell ref="A5:A6"/>
    <mergeCell ref="B5:B6"/>
    <mergeCell ref="C5:C6"/>
    <mergeCell ref="D5:F5"/>
    <mergeCell ref="G5:G6"/>
  </mergeCells>
  <pageMargins left="0.70866141732283472" right="0.70866141732283472" top="0.74803149606299213" bottom="0.74803149606299213" header="0.31496062992125984" footer="0.31496062992125984"/>
  <pageSetup paperSize="9" scale="75" fitToWidth="2" fitToHeight="2" orientation="landscape" r:id="rId1"/>
  <rowBreaks count="1" manualBreakCount="1">
    <brk id="24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P58"/>
  <sheetViews>
    <sheetView view="pageBreakPreview" zoomScale="90" zoomScaleNormal="90" zoomScaleSheetLayoutView="90" workbookViewId="0">
      <selection activeCell="A9" sqref="A9:O10"/>
    </sheetView>
  </sheetViews>
  <sheetFormatPr defaultColWidth="9.109375" defaultRowHeight="14.4" x14ac:dyDescent="0.3"/>
  <cols>
    <col min="1" max="1" width="14" style="10" bestFit="1" customWidth="1"/>
    <col min="2" max="2" width="32.6640625" style="10" customWidth="1"/>
    <col min="3" max="3" width="9.109375" style="10"/>
    <col min="4" max="4" width="10.5546875" style="10" bestFit="1" customWidth="1"/>
    <col min="5" max="6" width="9.109375" style="10"/>
    <col min="7" max="7" width="11.88671875" style="10" customWidth="1"/>
    <col min="8" max="8" width="10" style="10" bestFit="1" customWidth="1"/>
    <col min="9" max="9" width="10.5546875" style="10" bestFit="1" customWidth="1"/>
    <col min="10" max="16384" width="9.109375" style="10"/>
  </cols>
  <sheetData>
    <row r="1" spans="1:15" ht="15.6" x14ac:dyDescent="0.3">
      <c r="A1" s="122" t="s">
        <v>30</v>
      </c>
      <c r="B1" s="123" t="s">
        <v>39</v>
      </c>
    </row>
    <row r="2" spans="1:15" ht="15.6" x14ac:dyDescent="0.3">
      <c r="A2" s="122" t="s">
        <v>32</v>
      </c>
      <c r="B2" s="123" t="s">
        <v>33</v>
      </c>
    </row>
    <row r="3" spans="1:15" ht="15.6" x14ac:dyDescent="0.3">
      <c r="A3" s="122" t="s">
        <v>34</v>
      </c>
      <c r="B3" s="123" t="s">
        <v>35</v>
      </c>
    </row>
    <row r="4" spans="1:15" ht="31.2" x14ac:dyDescent="0.3">
      <c r="A4" s="122" t="s">
        <v>36</v>
      </c>
      <c r="B4" s="123" t="s">
        <v>37</v>
      </c>
    </row>
    <row r="5" spans="1:15" ht="15.6" x14ac:dyDescent="0.3">
      <c r="A5" s="219" t="s">
        <v>25</v>
      </c>
      <c r="B5" s="219" t="s">
        <v>20</v>
      </c>
      <c r="C5" s="219" t="s">
        <v>23</v>
      </c>
      <c r="D5" s="216" t="s">
        <v>28</v>
      </c>
      <c r="E5" s="217"/>
      <c r="F5" s="218"/>
      <c r="G5" s="219" t="s">
        <v>0</v>
      </c>
      <c r="H5" s="216" t="s">
        <v>27</v>
      </c>
      <c r="I5" s="217"/>
      <c r="J5" s="217"/>
      <c r="K5" s="218"/>
      <c r="L5" s="216" t="s">
        <v>26</v>
      </c>
      <c r="M5" s="217"/>
      <c r="N5" s="217"/>
      <c r="O5" s="218"/>
    </row>
    <row r="6" spans="1:15" ht="15.6" x14ac:dyDescent="0.3">
      <c r="A6" s="220"/>
      <c r="B6" s="221"/>
      <c r="C6" s="222"/>
      <c r="D6" s="124" t="s">
        <v>1</v>
      </c>
      <c r="E6" s="124" t="s">
        <v>2</v>
      </c>
      <c r="F6" s="124" t="s">
        <v>3</v>
      </c>
      <c r="G6" s="220"/>
      <c r="H6" s="124" t="s">
        <v>19</v>
      </c>
      <c r="I6" s="124" t="s">
        <v>4</v>
      </c>
      <c r="J6" s="124" t="s">
        <v>122</v>
      </c>
      <c r="K6" s="124" t="s">
        <v>6</v>
      </c>
      <c r="L6" s="124" t="s">
        <v>7</v>
      </c>
      <c r="M6" s="124" t="s">
        <v>8</v>
      </c>
      <c r="N6" s="124" t="s">
        <v>9</v>
      </c>
      <c r="O6" s="124" t="s">
        <v>10</v>
      </c>
    </row>
    <row r="7" spans="1:15" ht="18" x14ac:dyDescent="0.3">
      <c r="A7" s="243" t="s">
        <v>22</v>
      </c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5"/>
    </row>
    <row r="8" spans="1:15" s="23" customFormat="1" ht="27.6" x14ac:dyDescent="0.3">
      <c r="A8" s="135">
        <v>65</v>
      </c>
      <c r="B8" s="6" t="s">
        <v>108</v>
      </c>
      <c r="C8" s="135">
        <v>250</v>
      </c>
      <c r="D8" s="12">
        <v>7.3</v>
      </c>
      <c r="E8" s="12">
        <v>4.4000000000000004</v>
      </c>
      <c r="F8" s="12">
        <v>30.8</v>
      </c>
      <c r="G8" s="12">
        <v>204</v>
      </c>
      <c r="H8" s="12">
        <v>0.2</v>
      </c>
      <c r="I8" s="12">
        <v>4.66</v>
      </c>
      <c r="J8" s="12">
        <v>0.08</v>
      </c>
      <c r="K8" s="12">
        <v>0</v>
      </c>
      <c r="L8" s="12">
        <v>38.299999999999997</v>
      </c>
      <c r="M8" s="12">
        <v>0</v>
      </c>
      <c r="N8" s="12">
        <v>42.23</v>
      </c>
      <c r="O8" s="12">
        <v>2.23</v>
      </c>
    </row>
    <row r="9" spans="1:15" x14ac:dyDescent="0.3">
      <c r="A9" s="135">
        <v>136</v>
      </c>
      <c r="B9" s="6" t="s">
        <v>109</v>
      </c>
      <c r="C9" s="135">
        <v>100</v>
      </c>
      <c r="D9" s="12">
        <v>13.5</v>
      </c>
      <c r="E9" s="12">
        <v>19.3</v>
      </c>
      <c r="F9" s="12">
        <v>13.9</v>
      </c>
      <c r="G9" s="12">
        <v>286</v>
      </c>
      <c r="H9" s="12">
        <v>0.06</v>
      </c>
      <c r="I9" s="12">
        <v>0.35</v>
      </c>
      <c r="J9" s="12">
        <v>0.09</v>
      </c>
      <c r="K9" s="12">
        <v>0</v>
      </c>
      <c r="L9" s="12">
        <v>19.8</v>
      </c>
      <c r="M9" s="12">
        <v>0</v>
      </c>
      <c r="N9" s="12">
        <v>20.43</v>
      </c>
      <c r="O9" s="12">
        <v>1.61</v>
      </c>
    </row>
    <row r="10" spans="1:15" x14ac:dyDescent="0.3">
      <c r="A10" s="135">
        <v>315</v>
      </c>
      <c r="B10" s="6" t="s">
        <v>97</v>
      </c>
      <c r="C10" s="135">
        <v>150</v>
      </c>
      <c r="D10" s="12">
        <v>20.65</v>
      </c>
      <c r="E10" s="12">
        <v>32.369999999999997</v>
      </c>
      <c r="F10" s="12">
        <v>94.28</v>
      </c>
      <c r="G10" s="12">
        <v>751</v>
      </c>
      <c r="H10" s="12">
        <v>0.27</v>
      </c>
      <c r="I10" s="12">
        <v>171.62</v>
      </c>
      <c r="J10" s="12">
        <v>0.37</v>
      </c>
      <c r="K10" s="12"/>
      <c r="L10" s="12">
        <v>554.5</v>
      </c>
      <c r="M10" s="12"/>
      <c r="N10" s="12"/>
      <c r="O10" s="12">
        <v>8.08</v>
      </c>
    </row>
    <row r="11" spans="1:15" x14ac:dyDescent="0.3">
      <c r="A11" s="40">
        <v>300</v>
      </c>
      <c r="B11" s="6" t="s">
        <v>123</v>
      </c>
      <c r="C11" s="91">
        <v>200</v>
      </c>
      <c r="D11" s="92">
        <v>0.2</v>
      </c>
      <c r="E11" s="91">
        <v>0</v>
      </c>
      <c r="F11" s="92">
        <v>9.1</v>
      </c>
      <c r="G11" s="91">
        <v>36</v>
      </c>
      <c r="H11" s="92">
        <v>0</v>
      </c>
      <c r="I11" s="91">
        <v>0</v>
      </c>
      <c r="J11" s="92">
        <v>0</v>
      </c>
      <c r="K11" s="91">
        <v>0</v>
      </c>
      <c r="L11" s="92">
        <v>0.26</v>
      </c>
      <c r="M11" s="91">
        <v>0</v>
      </c>
      <c r="N11" s="92">
        <v>0</v>
      </c>
      <c r="O11" s="93">
        <v>0.03</v>
      </c>
    </row>
    <row r="12" spans="1:15" x14ac:dyDescent="0.3">
      <c r="A12" s="150">
        <v>1.5</v>
      </c>
      <c r="B12" s="6" t="s">
        <v>14</v>
      </c>
      <c r="C12" s="135">
        <v>50</v>
      </c>
      <c r="D12" s="12">
        <v>2.2400000000000002</v>
      </c>
      <c r="E12" s="12">
        <v>0.88</v>
      </c>
      <c r="F12" s="12">
        <v>19.760000000000002</v>
      </c>
      <c r="G12" s="12">
        <v>91.96</v>
      </c>
      <c r="H12" s="12">
        <v>0.04</v>
      </c>
      <c r="I12" s="12"/>
      <c r="J12" s="12"/>
      <c r="K12" s="12">
        <v>0.36</v>
      </c>
      <c r="L12" s="12">
        <v>9.1999999999999993</v>
      </c>
      <c r="M12" s="12">
        <v>42.4</v>
      </c>
      <c r="N12" s="12">
        <v>10</v>
      </c>
      <c r="O12" s="12">
        <v>1.24</v>
      </c>
    </row>
    <row r="13" spans="1:15" x14ac:dyDescent="0.3">
      <c r="A13" s="135">
        <v>1.6</v>
      </c>
      <c r="B13" s="6" t="s">
        <v>60</v>
      </c>
      <c r="C13" s="135">
        <v>50</v>
      </c>
      <c r="D13" s="12">
        <v>3.16</v>
      </c>
      <c r="E13" s="12">
        <v>0.4</v>
      </c>
      <c r="F13" s="12">
        <v>19.32</v>
      </c>
      <c r="G13" s="12">
        <v>93.52</v>
      </c>
      <c r="H13" s="12">
        <v>0.04</v>
      </c>
      <c r="I13" s="12"/>
      <c r="J13" s="12"/>
      <c r="K13" s="12">
        <v>0.52</v>
      </c>
      <c r="L13" s="12">
        <v>9.1999999999999993</v>
      </c>
      <c r="M13" s="12">
        <v>34.799999999999997</v>
      </c>
      <c r="N13" s="12">
        <v>13.2</v>
      </c>
      <c r="O13" s="12">
        <v>0.44</v>
      </c>
    </row>
    <row r="14" spans="1:15" s="134" customFormat="1" x14ac:dyDescent="0.3">
      <c r="A14" s="94" t="s">
        <v>11</v>
      </c>
      <c r="B14" s="95"/>
      <c r="C14" s="95"/>
      <c r="D14" s="108">
        <f>SUM(D8:D13)</f>
        <v>47.050000000000011</v>
      </c>
      <c r="E14" s="108">
        <f>SUM(E8:E13)</f>
        <v>57.35</v>
      </c>
      <c r="F14" s="108">
        <f>SUM(F8:F13)</f>
        <v>187.16</v>
      </c>
      <c r="G14" s="108">
        <f>SUM(G8:G13)</f>
        <v>1462.48</v>
      </c>
      <c r="H14" s="110"/>
      <c r="I14" s="110"/>
      <c r="J14" s="110"/>
      <c r="K14" s="110"/>
      <c r="L14" s="110"/>
      <c r="M14" s="110"/>
      <c r="N14" s="110"/>
      <c r="O14" s="110"/>
    </row>
    <row r="15" spans="1:15" ht="18" x14ac:dyDescent="0.3">
      <c r="A15" s="243" t="s">
        <v>21</v>
      </c>
      <c r="B15" s="244"/>
      <c r="C15" s="244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5"/>
    </row>
    <row r="16" spans="1:15" s="41" customFormat="1" ht="13.8" x14ac:dyDescent="0.3">
      <c r="A16" s="40"/>
      <c r="B16" s="30" t="s">
        <v>96</v>
      </c>
      <c r="C16" s="40" t="s">
        <v>103</v>
      </c>
      <c r="D16" s="121">
        <v>2.5</v>
      </c>
      <c r="E16" s="120">
        <v>0.1</v>
      </c>
      <c r="F16" s="121">
        <v>16</v>
      </c>
      <c r="G16" s="121">
        <v>317</v>
      </c>
      <c r="H16" s="121"/>
      <c r="I16" s="121"/>
      <c r="J16" s="121"/>
      <c r="K16" s="121"/>
      <c r="L16" s="121"/>
      <c r="M16" s="121"/>
      <c r="N16" s="121"/>
      <c r="O16" s="121"/>
    </row>
    <row r="17" spans="1:16" s="134" customFormat="1" x14ac:dyDescent="0.3">
      <c r="A17" s="94" t="s">
        <v>11</v>
      </c>
      <c r="B17" s="95"/>
      <c r="C17" s="95"/>
      <c r="D17" s="108">
        <f>SUM(D16:D16)</f>
        <v>2.5</v>
      </c>
      <c r="E17" s="108">
        <f>SUM(E16:E16)</f>
        <v>0.1</v>
      </c>
      <c r="F17" s="108">
        <f>SUM(F16:F16)</f>
        <v>16</v>
      </c>
      <c r="G17" s="108">
        <f>SUM(G16:G16)</f>
        <v>317</v>
      </c>
      <c r="H17" s="110"/>
      <c r="I17" s="110"/>
      <c r="J17" s="110"/>
      <c r="K17" s="110"/>
      <c r="L17" s="110"/>
      <c r="M17" s="110"/>
      <c r="N17" s="110"/>
      <c r="O17" s="110"/>
    </row>
    <row r="18" spans="1:16" s="134" customFormat="1" x14ac:dyDescent="0.3">
      <c r="A18" s="94" t="s">
        <v>15</v>
      </c>
      <c r="B18" s="95"/>
      <c r="C18" s="95"/>
      <c r="D18" s="97">
        <f>SUM(D14,D17)</f>
        <v>49.550000000000011</v>
      </c>
      <c r="E18" s="97">
        <f>SUM(E14,E17)</f>
        <v>57.45</v>
      </c>
      <c r="F18" s="97">
        <f>SUM(F14,F17)</f>
        <v>203.16</v>
      </c>
      <c r="G18" s="146">
        <f>SUM(G14,G17)</f>
        <v>1779.48</v>
      </c>
      <c r="H18" s="110"/>
      <c r="I18" s="110"/>
      <c r="J18" s="110"/>
      <c r="K18" s="110"/>
      <c r="L18" s="110"/>
      <c r="M18" s="110"/>
      <c r="N18" s="110"/>
      <c r="O18" s="110"/>
    </row>
    <row r="19" spans="1:16" ht="15" thickBot="1" x14ac:dyDescent="0.35"/>
    <row r="20" spans="1:16" ht="40.200000000000003" thickBot="1" x14ac:dyDescent="0.35">
      <c r="A20" s="50"/>
      <c r="B20" s="223" t="s">
        <v>44</v>
      </c>
      <c r="C20" s="224"/>
      <c r="D20" s="224"/>
      <c r="E20" s="225"/>
      <c r="F20" s="235" t="s">
        <v>45</v>
      </c>
      <c r="G20" s="236"/>
      <c r="H20" s="237"/>
      <c r="I20" s="125" t="s">
        <v>46</v>
      </c>
      <c r="K20" s="50"/>
      <c r="L20" s="50"/>
      <c r="M20" s="50"/>
      <c r="N20" s="50"/>
      <c r="O20" s="50"/>
      <c r="P20" s="50"/>
    </row>
    <row r="21" spans="1:16" ht="15" thickBot="1" x14ac:dyDescent="0.35">
      <c r="A21" s="37"/>
      <c r="B21" s="226"/>
      <c r="C21" s="227"/>
      <c r="D21" s="227"/>
      <c r="E21" s="228"/>
      <c r="F21" s="126" t="s">
        <v>1</v>
      </c>
      <c r="G21" s="126" t="s">
        <v>2</v>
      </c>
      <c r="H21" s="126" t="s">
        <v>3</v>
      </c>
      <c r="I21" s="127"/>
      <c r="K21" s="50"/>
      <c r="L21" s="39"/>
      <c r="M21" s="39"/>
      <c r="N21" s="39"/>
      <c r="O21" s="39"/>
      <c r="P21" s="50"/>
    </row>
    <row r="22" spans="1:16" ht="15" thickBot="1" x14ac:dyDescent="0.35">
      <c r="A22" s="37"/>
      <c r="B22" s="238" t="s">
        <v>48</v>
      </c>
      <c r="C22" s="239"/>
      <c r="D22" s="239"/>
      <c r="E22" s="240"/>
      <c r="F22" s="126" t="s">
        <v>49</v>
      </c>
      <c r="G22" s="126" t="s">
        <v>50</v>
      </c>
      <c r="H22" s="126" t="s">
        <v>51</v>
      </c>
      <c r="I22" s="126" t="s">
        <v>104</v>
      </c>
      <c r="K22" s="50"/>
      <c r="L22" s="39"/>
      <c r="M22" s="39"/>
      <c r="N22" s="39"/>
      <c r="O22" s="39"/>
      <c r="P22" s="50"/>
    </row>
    <row r="23" spans="1:16" ht="15" thickBot="1" x14ac:dyDescent="0.35">
      <c r="A23" s="50"/>
      <c r="B23" s="238" t="s">
        <v>47</v>
      </c>
      <c r="C23" s="239"/>
      <c r="D23" s="239"/>
      <c r="E23" s="240"/>
      <c r="F23" s="128">
        <f>D18</f>
        <v>49.550000000000011</v>
      </c>
      <c r="G23" s="128">
        <f>E18</f>
        <v>57.45</v>
      </c>
      <c r="H23" s="128">
        <f>F18</f>
        <v>203.16</v>
      </c>
      <c r="I23" s="128">
        <f>G18</f>
        <v>1779.48</v>
      </c>
      <c r="K23" s="50"/>
      <c r="L23" s="50"/>
      <c r="M23" s="50"/>
      <c r="N23" s="50"/>
      <c r="O23" s="50"/>
      <c r="P23" s="50"/>
    </row>
    <row r="24" spans="1:16" s="24" customFormat="1" x14ac:dyDescent="0.3">
      <c r="A24" s="37"/>
      <c r="B24" s="10"/>
      <c r="C24" s="10"/>
      <c r="D24" s="10"/>
      <c r="E24" s="10"/>
      <c r="F24" s="10"/>
      <c r="G24" s="10"/>
      <c r="H24" s="10"/>
      <c r="I24" s="10"/>
      <c r="J24" s="10"/>
      <c r="K24" s="50"/>
      <c r="L24" s="39"/>
      <c r="M24" s="39"/>
      <c r="N24" s="39"/>
      <c r="O24" s="39"/>
      <c r="P24" s="51"/>
    </row>
    <row r="25" spans="1:16" ht="32.25" customHeight="1" x14ac:dyDescent="0.3">
      <c r="A25" s="50"/>
      <c r="B25" s="229" t="s">
        <v>93</v>
      </c>
      <c r="C25" s="229"/>
      <c r="D25" s="229"/>
      <c r="E25" s="229"/>
      <c r="F25" s="229"/>
      <c r="G25" s="229"/>
      <c r="H25" s="229"/>
      <c r="K25" s="50"/>
      <c r="L25" s="50"/>
      <c r="M25" s="50"/>
      <c r="N25" s="50"/>
      <c r="O25" s="50"/>
      <c r="P25" s="50"/>
    </row>
    <row r="26" spans="1:16" ht="30" customHeight="1" x14ac:dyDescent="0.3">
      <c r="A26" s="50"/>
      <c r="B26" s="129" t="s">
        <v>55</v>
      </c>
      <c r="C26" s="230" t="s">
        <v>56</v>
      </c>
      <c r="D26" s="230"/>
      <c r="E26" s="230"/>
      <c r="F26" s="230"/>
      <c r="G26" s="241" t="s">
        <v>94</v>
      </c>
      <c r="H26" s="242"/>
      <c r="J26" s="122" t="s">
        <v>30</v>
      </c>
      <c r="K26" s="123" t="s">
        <v>39</v>
      </c>
    </row>
    <row r="27" spans="1:16" ht="31.2" x14ac:dyDescent="0.3">
      <c r="A27" s="50"/>
      <c r="B27" s="231"/>
      <c r="C27" s="233" t="s">
        <v>57</v>
      </c>
      <c r="D27" s="234"/>
      <c r="E27" s="233" t="s">
        <v>58</v>
      </c>
      <c r="F27" s="234"/>
      <c r="G27" s="129" t="s">
        <v>57</v>
      </c>
      <c r="H27" s="129" t="s">
        <v>58</v>
      </c>
      <c r="J27" s="122" t="s">
        <v>32</v>
      </c>
      <c r="K27" s="123" t="s">
        <v>33</v>
      </c>
    </row>
    <row r="28" spans="1:16" ht="28.8" x14ac:dyDescent="0.3">
      <c r="A28" s="50"/>
      <c r="B28" s="232"/>
      <c r="C28" s="233" t="s">
        <v>37</v>
      </c>
      <c r="D28" s="234"/>
      <c r="E28" s="233" t="s">
        <v>37</v>
      </c>
      <c r="F28" s="234"/>
      <c r="G28" s="129" t="s">
        <v>37</v>
      </c>
      <c r="H28" s="129" t="s">
        <v>37</v>
      </c>
      <c r="J28" s="122" t="s">
        <v>34</v>
      </c>
      <c r="K28" s="123" t="s">
        <v>35</v>
      </c>
    </row>
    <row r="29" spans="1:16" ht="43.8" customHeight="1" x14ac:dyDescent="0.3">
      <c r="A29" s="50"/>
      <c r="B29" s="130" t="s">
        <v>59</v>
      </c>
      <c r="C29" s="246">
        <v>80</v>
      </c>
      <c r="D29" s="247"/>
      <c r="E29" s="246">
        <v>80</v>
      </c>
      <c r="F29" s="247"/>
      <c r="G29" s="131">
        <v>40</v>
      </c>
      <c r="H29" s="131">
        <v>40</v>
      </c>
      <c r="J29" s="122" t="s">
        <v>36</v>
      </c>
      <c r="K29" s="123" t="s">
        <v>37</v>
      </c>
    </row>
    <row r="30" spans="1:16" x14ac:dyDescent="0.3">
      <c r="A30" s="50"/>
      <c r="B30" s="130" t="s">
        <v>60</v>
      </c>
      <c r="C30" s="246">
        <v>150</v>
      </c>
      <c r="D30" s="247"/>
      <c r="E30" s="246">
        <v>150</v>
      </c>
      <c r="F30" s="247"/>
      <c r="G30" s="131">
        <f>50+8+5+40</f>
        <v>103</v>
      </c>
      <c r="H30" s="131">
        <v>103</v>
      </c>
    </row>
    <row r="31" spans="1:16" x14ac:dyDescent="0.3">
      <c r="A31" s="50"/>
      <c r="B31" s="130" t="s">
        <v>61</v>
      </c>
      <c r="C31" s="246">
        <v>15</v>
      </c>
      <c r="D31" s="247"/>
      <c r="E31" s="246">
        <v>15</v>
      </c>
      <c r="F31" s="247"/>
      <c r="G31" s="131">
        <f>1+0.6+14</f>
        <v>15.6</v>
      </c>
      <c r="H31" s="131">
        <v>15.6</v>
      </c>
    </row>
    <row r="32" spans="1:16" x14ac:dyDescent="0.3">
      <c r="A32" s="50"/>
      <c r="B32" s="130" t="s">
        <v>62</v>
      </c>
      <c r="C32" s="246">
        <v>45</v>
      </c>
      <c r="D32" s="247"/>
      <c r="E32" s="246">
        <v>45</v>
      </c>
      <c r="F32" s="247"/>
      <c r="G32" s="131"/>
      <c r="H32" s="131"/>
    </row>
    <row r="33" spans="1:8" x14ac:dyDescent="0.3">
      <c r="A33" s="50"/>
      <c r="B33" s="130" t="s">
        <v>63</v>
      </c>
      <c r="C33" s="246">
        <v>15</v>
      </c>
      <c r="D33" s="247"/>
      <c r="E33" s="246">
        <v>15</v>
      </c>
      <c r="F33" s="247"/>
      <c r="G33" s="131">
        <v>10</v>
      </c>
      <c r="H33" s="131">
        <v>10</v>
      </c>
    </row>
    <row r="34" spans="1:8" x14ac:dyDescent="0.3">
      <c r="A34" s="50"/>
      <c r="B34" s="130" t="s">
        <v>64</v>
      </c>
      <c r="C34" s="246" t="s">
        <v>65</v>
      </c>
      <c r="D34" s="247"/>
      <c r="E34" s="248">
        <v>188</v>
      </c>
      <c r="F34" s="249"/>
      <c r="G34" s="131">
        <v>53.4</v>
      </c>
      <c r="H34" s="131">
        <v>40</v>
      </c>
    </row>
    <row r="35" spans="1:8" x14ac:dyDescent="0.3">
      <c r="A35" s="50"/>
      <c r="B35" s="130" t="s">
        <v>66</v>
      </c>
      <c r="C35" s="246">
        <v>350</v>
      </c>
      <c r="D35" s="247"/>
      <c r="E35" s="246" t="s">
        <v>67</v>
      </c>
      <c r="F35" s="247"/>
      <c r="G35" s="131">
        <f>10+9.6+2+2+142+3+5+6+92.6</f>
        <v>272.2</v>
      </c>
      <c r="H35" s="132">
        <f>8+8+2+114+2.5+4+6+74</f>
        <v>218.5</v>
      </c>
    </row>
    <row r="36" spans="1:8" x14ac:dyDescent="0.3">
      <c r="A36" s="50"/>
      <c r="B36" s="130" t="s">
        <v>68</v>
      </c>
      <c r="C36" s="246">
        <v>200</v>
      </c>
      <c r="D36" s="247"/>
      <c r="E36" s="246" t="s">
        <v>69</v>
      </c>
      <c r="F36" s="247"/>
      <c r="G36" s="131">
        <f>100+14.3+20.7</f>
        <v>135</v>
      </c>
      <c r="H36" s="131">
        <f>100+10+18</f>
        <v>128</v>
      </c>
    </row>
    <row r="37" spans="1:8" ht="25.5" customHeight="1" x14ac:dyDescent="0.3">
      <c r="A37" s="50"/>
      <c r="B37" s="130" t="s">
        <v>70</v>
      </c>
      <c r="C37" s="246"/>
      <c r="D37" s="247"/>
      <c r="E37" s="246"/>
      <c r="F37" s="247"/>
      <c r="G37" s="131"/>
      <c r="H37" s="131"/>
    </row>
    <row r="38" spans="1:8" ht="26.4" x14ac:dyDescent="0.3">
      <c r="A38" s="50"/>
      <c r="B38" s="130" t="s">
        <v>71</v>
      </c>
      <c r="C38" s="246">
        <v>200</v>
      </c>
      <c r="D38" s="247"/>
      <c r="E38" s="246">
        <v>200</v>
      </c>
      <c r="F38" s="247"/>
      <c r="G38" s="131">
        <v>200</v>
      </c>
      <c r="H38" s="131">
        <v>200</v>
      </c>
    </row>
    <row r="39" spans="1:8" ht="26.4" x14ac:dyDescent="0.3">
      <c r="A39" s="50"/>
      <c r="B39" s="130" t="s">
        <v>72</v>
      </c>
      <c r="C39" s="246"/>
      <c r="D39" s="247"/>
      <c r="E39" s="246"/>
      <c r="F39" s="247"/>
      <c r="G39" s="131"/>
      <c r="H39" s="131"/>
    </row>
    <row r="40" spans="1:8" ht="26.4" x14ac:dyDescent="0.3">
      <c r="A40" s="50"/>
      <c r="B40" s="130" t="s">
        <v>74</v>
      </c>
      <c r="C40" s="246" t="s">
        <v>75</v>
      </c>
      <c r="D40" s="247"/>
      <c r="E40" s="246">
        <v>35</v>
      </c>
      <c r="F40" s="247"/>
      <c r="G40" s="131">
        <f>85+40</f>
        <v>125</v>
      </c>
      <c r="H40" s="131">
        <f>35+25</f>
        <v>60</v>
      </c>
    </row>
    <row r="41" spans="1:8" x14ac:dyDescent="0.3">
      <c r="A41" s="50"/>
      <c r="B41" s="130" t="s">
        <v>76</v>
      </c>
      <c r="C41" s="246">
        <v>60</v>
      </c>
      <c r="D41" s="247"/>
      <c r="E41" s="246">
        <v>58</v>
      </c>
      <c r="F41" s="247"/>
      <c r="G41" s="131"/>
      <c r="H41" s="131"/>
    </row>
    <row r="42" spans="1:8" x14ac:dyDescent="0.3">
      <c r="A42" s="50"/>
      <c r="B42" s="130" t="s">
        <v>77</v>
      </c>
      <c r="C42" s="246">
        <v>15</v>
      </c>
      <c r="D42" s="247"/>
      <c r="E42" s="246">
        <v>14.7</v>
      </c>
      <c r="F42" s="247"/>
      <c r="G42" s="131"/>
      <c r="H42" s="131"/>
    </row>
    <row r="43" spans="1:8" ht="26.4" x14ac:dyDescent="0.3">
      <c r="A43" s="50"/>
      <c r="B43" s="130" t="s">
        <v>78</v>
      </c>
      <c r="C43" s="246">
        <v>300</v>
      </c>
      <c r="D43" s="247"/>
      <c r="E43" s="246">
        <v>300</v>
      </c>
      <c r="F43" s="247"/>
      <c r="G43" s="131">
        <f>100+50+12</f>
        <v>162</v>
      </c>
      <c r="H43" s="131">
        <v>162</v>
      </c>
    </row>
    <row r="44" spans="1:8" ht="26.4" x14ac:dyDescent="0.3">
      <c r="A44" s="50"/>
      <c r="B44" s="130" t="s">
        <v>79</v>
      </c>
      <c r="C44" s="246">
        <v>150</v>
      </c>
      <c r="D44" s="247"/>
      <c r="E44" s="246">
        <v>150</v>
      </c>
      <c r="F44" s="247"/>
      <c r="G44" s="131">
        <v>150</v>
      </c>
      <c r="H44" s="131">
        <v>150</v>
      </c>
    </row>
    <row r="45" spans="1:8" ht="26.4" x14ac:dyDescent="0.3">
      <c r="A45" s="50"/>
      <c r="B45" s="130" t="s">
        <v>80</v>
      </c>
      <c r="C45" s="246">
        <v>50</v>
      </c>
      <c r="D45" s="247"/>
      <c r="E45" s="246">
        <v>50</v>
      </c>
      <c r="F45" s="247"/>
      <c r="G45" s="131"/>
      <c r="H45" s="131"/>
    </row>
    <row r="46" spans="1:8" x14ac:dyDescent="0.3">
      <c r="A46" s="50"/>
      <c r="B46" s="130" t="s">
        <v>81</v>
      </c>
      <c r="C46" s="246">
        <v>10</v>
      </c>
      <c r="D46" s="247"/>
      <c r="E46" s="246">
        <v>9.8000000000000007</v>
      </c>
      <c r="F46" s="247"/>
      <c r="G46" s="131"/>
      <c r="H46" s="132"/>
    </row>
    <row r="47" spans="1:8" ht="26.4" x14ac:dyDescent="0.3">
      <c r="A47" s="50"/>
      <c r="B47" s="130" t="s">
        <v>82</v>
      </c>
      <c r="C47" s="246">
        <v>10</v>
      </c>
      <c r="D47" s="247"/>
      <c r="E47" s="246">
        <v>10</v>
      </c>
      <c r="F47" s="247"/>
      <c r="G47" s="133"/>
      <c r="H47" s="133"/>
    </row>
    <row r="48" spans="1:8" x14ac:dyDescent="0.3">
      <c r="A48" s="50"/>
      <c r="B48" s="130" t="s">
        <v>83</v>
      </c>
      <c r="C48" s="246">
        <v>30</v>
      </c>
      <c r="D48" s="247"/>
      <c r="E48" s="246">
        <v>30</v>
      </c>
      <c r="F48" s="247"/>
      <c r="G48" s="131">
        <f>10+4+10+2+5+0.6</f>
        <v>31.6</v>
      </c>
      <c r="H48" s="131">
        <f>31.6</f>
        <v>31.6</v>
      </c>
    </row>
    <row r="49" spans="1:8" x14ac:dyDescent="0.3">
      <c r="A49" s="50"/>
      <c r="B49" s="130" t="s">
        <v>84</v>
      </c>
      <c r="C49" s="246">
        <v>15</v>
      </c>
      <c r="D49" s="247"/>
      <c r="E49" s="246">
        <v>15</v>
      </c>
      <c r="F49" s="247"/>
      <c r="G49" s="131">
        <f>2+4+3+5+0.15</f>
        <v>14.15</v>
      </c>
      <c r="H49" s="131">
        <v>14.15</v>
      </c>
    </row>
    <row r="50" spans="1:8" x14ac:dyDescent="0.3">
      <c r="A50" s="50"/>
      <c r="B50" s="130" t="s">
        <v>85</v>
      </c>
      <c r="C50" s="246" t="s">
        <v>86</v>
      </c>
      <c r="D50" s="247"/>
      <c r="E50" s="246">
        <v>40</v>
      </c>
      <c r="F50" s="247"/>
      <c r="G50" s="131">
        <v>40</v>
      </c>
      <c r="H50" s="131">
        <v>40</v>
      </c>
    </row>
    <row r="51" spans="1:8" x14ac:dyDescent="0.3">
      <c r="A51" s="50"/>
      <c r="B51" s="130" t="s">
        <v>87</v>
      </c>
      <c r="C51" s="246">
        <v>40</v>
      </c>
      <c r="D51" s="247"/>
      <c r="E51" s="248">
        <v>40</v>
      </c>
      <c r="F51" s="249"/>
      <c r="G51" s="131">
        <f>1+20+3+2+5.4+0.75</f>
        <v>32.15</v>
      </c>
      <c r="H51" s="131">
        <v>32.15</v>
      </c>
    </row>
    <row r="52" spans="1:8" x14ac:dyDescent="0.3">
      <c r="A52" s="50"/>
      <c r="B52" s="130" t="s">
        <v>88</v>
      </c>
      <c r="C52" s="248">
        <v>10</v>
      </c>
      <c r="D52" s="249"/>
      <c r="E52" s="246">
        <v>10</v>
      </c>
      <c r="F52" s="247"/>
      <c r="G52" s="131"/>
      <c r="H52" s="131"/>
    </row>
    <row r="53" spans="1:8" x14ac:dyDescent="0.3">
      <c r="A53" s="50"/>
      <c r="B53" s="130" t="s">
        <v>89</v>
      </c>
      <c r="C53" s="246">
        <v>0.4</v>
      </c>
      <c r="D53" s="247"/>
      <c r="E53" s="246">
        <v>0.4</v>
      </c>
      <c r="F53" s="247"/>
      <c r="G53" s="131"/>
      <c r="H53" s="131"/>
    </row>
    <row r="54" spans="1:8" x14ac:dyDescent="0.3">
      <c r="A54" s="50"/>
      <c r="B54" s="130" t="s">
        <v>90</v>
      </c>
      <c r="C54" s="246">
        <v>1.2</v>
      </c>
      <c r="D54" s="247"/>
      <c r="E54" s="246">
        <v>1.2</v>
      </c>
      <c r="F54" s="247"/>
      <c r="G54" s="131"/>
      <c r="H54" s="131"/>
    </row>
    <row r="55" spans="1:8" x14ac:dyDescent="0.3">
      <c r="A55" s="50"/>
      <c r="B55" s="130" t="s">
        <v>91</v>
      </c>
      <c r="C55" s="246">
        <v>1</v>
      </c>
      <c r="D55" s="247"/>
      <c r="E55" s="246">
        <v>1</v>
      </c>
      <c r="F55" s="247"/>
      <c r="G55" s="131"/>
      <c r="H55" s="131"/>
    </row>
    <row r="56" spans="1:8" x14ac:dyDescent="0.3">
      <c r="A56" s="50"/>
      <c r="B56" s="130" t="s">
        <v>92</v>
      </c>
      <c r="C56" s="246">
        <v>5</v>
      </c>
      <c r="D56" s="247"/>
      <c r="E56" s="246">
        <v>5</v>
      </c>
      <c r="F56" s="247"/>
      <c r="G56" s="131">
        <v>3.1</v>
      </c>
      <c r="H56" s="131">
        <v>3.1</v>
      </c>
    </row>
    <row r="57" spans="1:8" x14ac:dyDescent="0.3">
      <c r="A57" s="50"/>
      <c r="B57" s="50"/>
      <c r="C57" s="50"/>
      <c r="D57" s="50"/>
      <c r="E57" s="50"/>
      <c r="F57" s="50"/>
      <c r="G57" s="50"/>
      <c r="H57" s="50"/>
    </row>
    <row r="58" spans="1:8" x14ac:dyDescent="0.3">
      <c r="A58" s="50"/>
      <c r="B58" s="50"/>
      <c r="C58" s="50"/>
      <c r="D58" s="50"/>
      <c r="E58" s="50"/>
      <c r="F58" s="50"/>
      <c r="G58" s="50"/>
      <c r="H58" s="50"/>
    </row>
  </sheetData>
  <sheetProtection formatCells="0" formatColumns="0" formatRows="0" insertColumns="0" insertRows="0" insertHyperlinks="0" deleteColumns="0" deleteRows="0" sort="0" autoFilter="0" pivotTables="0"/>
  <mergeCells count="77">
    <mergeCell ref="E38:F38"/>
    <mergeCell ref="E37:F37"/>
    <mergeCell ref="E39:F39"/>
    <mergeCell ref="E40:F40"/>
    <mergeCell ref="E33:F33"/>
    <mergeCell ref="E34:F34"/>
    <mergeCell ref="E35:F35"/>
    <mergeCell ref="E36:F36"/>
    <mergeCell ref="E41:F41"/>
    <mergeCell ref="E43:F43"/>
    <mergeCell ref="E42:F42"/>
    <mergeCell ref="E44:F44"/>
    <mergeCell ref="E45:F45"/>
    <mergeCell ref="E46:F46"/>
    <mergeCell ref="E56:F5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C37:D37"/>
    <mergeCell ref="E32:F32"/>
    <mergeCell ref="C30:D30"/>
    <mergeCell ref="C29:D29"/>
    <mergeCell ref="C28:D28"/>
    <mergeCell ref="E28:F28"/>
    <mergeCell ref="E29:F29"/>
    <mergeCell ref="E30:F30"/>
    <mergeCell ref="C31:D31"/>
    <mergeCell ref="E31:F31"/>
    <mergeCell ref="C36:D36"/>
    <mergeCell ref="C35:D35"/>
    <mergeCell ref="C34:D34"/>
    <mergeCell ref="C33:D33"/>
    <mergeCell ref="C32:D32"/>
    <mergeCell ref="C42:D42"/>
    <mergeCell ref="C41:D41"/>
    <mergeCell ref="C40:D40"/>
    <mergeCell ref="C39:D39"/>
    <mergeCell ref="C38:D38"/>
    <mergeCell ref="A7:O7"/>
    <mergeCell ref="A15:O15"/>
    <mergeCell ref="C56:D56"/>
    <mergeCell ref="C55:D55"/>
    <mergeCell ref="C54:D54"/>
    <mergeCell ref="C53:D53"/>
    <mergeCell ref="C52:D52"/>
    <mergeCell ref="C51:D51"/>
    <mergeCell ref="C50:D50"/>
    <mergeCell ref="C49:D49"/>
    <mergeCell ref="C47:D47"/>
    <mergeCell ref="C48:D48"/>
    <mergeCell ref="C46:D46"/>
    <mergeCell ref="C45:D45"/>
    <mergeCell ref="C44:D44"/>
    <mergeCell ref="C43:D43"/>
    <mergeCell ref="B20:E21"/>
    <mergeCell ref="B25:H25"/>
    <mergeCell ref="C26:F26"/>
    <mergeCell ref="B27:B28"/>
    <mergeCell ref="C27:D27"/>
    <mergeCell ref="E27:F27"/>
    <mergeCell ref="F20:H20"/>
    <mergeCell ref="B22:E22"/>
    <mergeCell ref="B23:E23"/>
    <mergeCell ref="G26:H26"/>
    <mergeCell ref="L5:O5"/>
    <mergeCell ref="A5:A6"/>
    <mergeCell ref="B5:B6"/>
    <mergeCell ref="C5:C6"/>
    <mergeCell ref="D5:F5"/>
    <mergeCell ref="G5:G6"/>
    <mergeCell ref="H5:K5"/>
  </mergeCells>
  <pageMargins left="0.70866141732283472" right="0.70866141732283472" top="0.74803149606299213" bottom="0.74803149606299213" header="0.31496062992125984" footer="0.31496062992125984"/>
  <pageSetup paperSize="9" scale="73" fitToWidth="2" fitToHeight="2" orientation="landscape" r:id="rId1"/>
  <rowBreaks count="1" manualBreakCount="1">
    <brk id="24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O59"/>
  <sheetViews>
    <sheetView view="pageBreakPreview" zoomScale="90" zoomScaleNormal="100" zoomScaleSheetLayoutView="90" workbookViewId="0">
      <selection activeCell="O8" sqref="A8:O8"/>
    </sheetView>
  </sheetViews>
  <sheetFormatPr defaultRowHeight="14.4" x14ac:dyDescent="0.3"/>
  <cols>
    <col min="1" max="1" width="13.6640625" bestFit="1" customWidth="1"/>
    <col min="2" max="2" width="27.109375" customWidth="1"/>
    <col min="4" max="4" width="10.109375" bestFit="1" customWidth="1"/>
    <col min="6" max="6" width="11.88671875" customWidth="1"/>
    <col min="7" max="7" width="13.44140625" customWidth="1"/>
    <col min="11" max="11" width="13.44140625" customWidth="1"/>
  </cols>
  <sheetData>
    <row r="1" spans="1:15" ht="15.6" x14ac:dyDescent="0.3">
      <c r="A1" s="9" t="s">
        <v>30</v>
      </c>
      <c r="B1" s="8" t="s">
        <v>40</v>
      </c>
    </row>
    <row r="2" spans="1:15" ht="15.6" x14ac:dyDescent="0.3">
      <c r="A2" s="9" t="s">
        <v>32</v>
      </c>
      <c r="B2" s="8" t="s">
        <v>33</v>
      </c>
    </row>
    <row r="3" spans="1:15" ht="15.6" x14ac:dyDescent="0.3">
      <c r="A3" s="9" t="s">
        <v>34</v>
      </c>
      <c r="B3" s="8" t="s">
        <v>35</v>
      </c>
    </row>
    <row r="4" spans="1:15" ht="31.2" x14ac:dyDescent="0.3">
      <c r="A4" s="9" t="s">
        <v>36</v>
      </c>
      <c r="B4" s="8" t="s">
        <v>37</v>
      </c>
    </row>
    <row r="5" spans="1:15" ht="15.6" x14ac:dyDescent="0.3">
      <c r="A5" s="253" t="s">
        <v>25</v>
      </c>
      <c r="B5" s="253" t="s">
        <v>20</v>
      </c>
      <c r="C5" s="253" t="s">
        <v>23</v>
      </c>
      <c r="D5" s="250" t="s">
        <v>28</v>
      </c>
      <c r="E5" s="251"/>
      <c r="F5" s="252"/>
      <c r="G5" s="253" t="s">
        <v>0</v>
      </c>
      <c r="H5" s="250" t="s">
        <v>27</v>
      </c>
      <c r="I5" s="251"/>
      <c r="J5" s="251"/>
      <c r="K5" s="252"/>
      <c r="L5" s="250" t="s">
        <v>26</v>
      </c>
      <c r="M5" s="251"/>
      <c r="N5" s="251"/>
      <c r="O5" s="252"/>
    </row>
    <row r="6" spans="1:15" ht="15.6" x14ac:dyDescent="0.3">
      <c r="A6" s="254"/>
      <c r="B6" s="255"/>
      <c r="C6" s="256"/>
      <c r="D6" s="5" t="s">
        <v>1</v>
      </c>
      <c r="E6" s="5" t="s">
        <v>2</v>
      </c>
      <c r="F6" s="5" t="s">
        <v>3</v>
      </c>
      <c r="G6" s="254"/>
      <c r="H6" s="5" t="s">
        <v>19</v>
      </c>
      <c r="I6" s="5" t="s">
        <v>4</v>
      </c>
      <c r="J6" s="5" t="s">
        <v>5</v>
      </c>
      <c r="K6" s="5" t="s">
        <v>6</v>
      </c>
      <c r="L6" s="5" t="s">
        <v>7</v>
      </c>
      <c r="M6" s="5" t="s">
        <v>122</v>
      </c>
      <c r="N6" s="5" t="s">
        <v>9</v>
      </c>
      <c r="O6" s="5" t="s">
        <v>10</v>
      </c>
    </row>
    <row r="7" spans="1:15" s="10" customFormat="1" ht="18" x14ac:dyDescent="0.3">
      <c r="A7" s="244" t="s">
        <v>22</v>
      </c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5"/>
    </row>
    <row r="8" spans="1:15" s="10" customFormat="1" ht="27.6" x14ac:dyDescent="0.3">
      <c r="A8" s="135">
        <v>65</v>
      </c>
      <c r="B8" s="6" t="s">
        <v>106</v>
      </c>
      <c r="C8" s="135">
        <v>250</v>
      </c>
      <c r="D8" s="12">
        <v>7.3</v>
      </c>
      <c r="E8" s="12">
        <v>4.4000000000000004</v>
      </c>
      <c r="F8" s="12">
        <v>30.8</v>
      </c>
      <c r="G8" s="12">
        <v>204</v>
      </c>
      <c r="H8" s="12">
        <v>0.2</v>
      </c>
      <c r="I8" s="12">
        <v>4.66</v>
      </c>
      <c r="J8" s="12">
        <v>0.08</v>
      </c>
      <c r="K8" s="12">
        <v>0</v>
      </c>
      <c r="L8" s="12">
        <v>38.299999999999997</v>
      </c>
      <c r="M8" s="12">
        <v>0</v>
      </c>
      <c r="N8" s="12">
        <v>42.23</v>
      </c>
      <c r="O8" s="12">
        <v>2.23</v>
      </c>
    </row>
    <row r="9" spans="1:15" s="10" customFormat="1" x14ac:dyDescent="0.3">
      <c r="A9" s="135">
        <v>187</v>
      </c>
      <c r="B9" s="6" t="s">
        <v>16</v>
      </c>
      <c r="C9" s="135" t="s">
        <v>125</v>
      </c>
      <c r="D9" s="12">
        <v>4.4000000000000004</v>
      </c>
      <c r="E9" s="12">
        <v>4.7</v>
      </c>
      <c r="F9" s="12">
        <v>45</v>
      </c>
      <c r="G9" s="12">
        <v>248</v>
      </c>
      <c r="H9" s="12">
        <v>0.04</v>
      </c>
      <c r="I9" s="12">
        <v>0</v>
      </c>
      <c r="J9" s="12"/>
      <c r="K9" s="12">
        <v>0</v>
      </c>
      <c r="L9" s="12">
        <v>5.57</v>
      </c>
      <c r="M9" s="12">
        <v>0.03</v>
      </c>
      <c r="N9" s="12">
        <v>30.52</v>
      </c>
      <c r="O9" s="12">
        <v>0.63</v>
      </c>
    </row>
    <row r="10" spans="1:15" s="10" customFormat="1" x14ac:dyDescent="0.3">
      <c r="A10" s="135">
        <v>96</v>
      </c>
      <c r="B10" s="6" t="s">
        <v>120</v>
      </c>
      <c r="C10" s="135">
        <v>100</v>
      </c>
      <c r="D10" s="12">
        <v>13.8</v>
      </c>
      <c r="E10" s="12">
        <v>14.3</v>
      </c>
      <c r="F10" s="12">
        <v>3.1</v>
      </c>
      <c r="G10" s="12">
        <v>197</v>
      </c>
      <c r="H10" s="12">
        <v>0.03</v>
      </c>
      <c r="I10" s="12">
        <v>0.28000000000000003</v>
      </c>
      <c r="J10" s="12"/>
      <c r="K10" s="12"/>
      <c r="L10" s="12">
        <v>11.27</v>
      </c>
      <c r="M10" s="12">
        <v>0.08</v>
      </c>
      <c r="N10" s="12">
        <v>18.579999999999998</v>
      </c>
      <c r="O10" s="12">
        <v>2.09</v>
      </c>
    </row>
    <row r="11" spans="1:15" s="10" customFormat="1" ht="27.6" x14ac:dyDescent="0.3">
      <c r="A11" s="40">
        <v>310</v>
      </c>
      <c r="B11" s="6" t="s">
        <v>129</v>
      </c>
      <c r="C11" s="91">
        <v>200</v>
      </c>
      <c r="D11" s="92">
        <v>0.5</v>
      </c>
      <c r="E11" s="91">
        <v>0.1</v>
      </c>
      <c r="F11" s="92">
        <v>30.9</v>
      </c>
      <c r="G11" s="91">
        <v>123</v>
      </c>
      <c r="H11" s="92">
        <v>0.01</v>
      </c>
      <c r="I11" s="91">
        <v>0.11</v>
      </c>
      <c r="J11" s="92" t="s">
        <v>130</v>
      </c>
      <c r="K11" s="91" t="s">
        <v>130</v>
      </c>
      <c r="L11" s="92">
        <v>14.19</v>
      </c>
      <c r="M11" s="91">
        <v>0.19</v>
      </c>
      <c r="N11" s="92">
        <v>8.07</v>
      </c>
      <c r="O11" s="93">
        <v>0.89</v>
      </c>
    </row>
    <row r="12" spans="1:15" s="10" customFormat="1" x14ac:dyDescent="0.3">
      <c r="A12" s="150">
        <v>1.5</v>
      </c>
      <c r="B12" s="6" t="s">
        <v>14</v>
      </c>
      <c r="C12" s="135">
        <v>50</v>
      </c>
      <c r="D12" s="12">
        <v>2.2400000000000002</v>
      </c>
      <c r="E12" s="12">
        <v>0.88</v>
      </c>
      <c r="F12" s="12">
        <v>19.760000000000002</v>
      </c>
      <c r="G12" s="12">
        <v>91.96</v>
      </c>
      <c r="H12" s="12">
        <v>0.04</v>
      </c>
      <c r="I12" s="12"/>
      <c r="J12" s="12"/>
      <c r="K12" s="12">
        <v>0.36</v>
      </c>
      <c r="L12" s="12">
        <v>9.1999999999999993</v>
      </c>
      <c r="M12" s="12">
        <v>42.4</v>
      </c>
      <c r="N12" s="12">
        <v>10</v>
      </c>
      <c r="O12" s="12">
        <v>1.24</v>
      </c>
    </row>
    <row r="13" spans="1:15" s="10" customFormat="1" x14ac:dyDescent="0.3">
      <c r="A13" s="135">
        <v>1.6</v>
      </c>
      <c r="B13" s="6" t="s">
        <v>60</v>
      </c>
      <c r="C13" s="135">
        <v>50</v>
      </c>
      <c r="D13" s="12">
        <v>3.16</v>
      </c>
      <c r="E13" s="12">
        <v>0.4</v>
      </c>
      <c r="F13" s="12">
        <v>19.32</v>
      </c>
      <c r="G13" s="12">
        <v>93.52</v>
      </c>
      <c r="H13" s="12">
        <v>0.04</v>
      </c>
      <c r="I13" s="12"/>
      <c r="J13" s="12"/>
      <c r="K13" s="12">
        <v>0.52</v>
      </c>
      <c r="L13" s="12">
        <v>9.1999999999999993</v>
      </c>
      <c r="M13" s="12">
        <v>34.799999999999997</v>
      </c>
      <c r="N13" s="12">
        <v>13.2</v>
      </c>
      <c r="O13" s="12">
        <v>0.44</v>
      </c>
    </row>
    <row r="14" spans="1:15" x14ac:dyDescent="0.3">
      <c r="A14" s="94" t="s">
        <v>11</v>
      </c>
      <c r="B14" s="95"/>
      <c r="C14" s="95"/>
      <c r="D14" s="96">
        <f>SUM(D8:D13)</f>
        <v>31.400000000000002</v>
      </c>
      <c r="E14" s="96">
        <f>SUM(E8:E13)</f>
        <v>24.78</v>
      </c>
      <c r="F14" s="96">
        <f>SUM(F8:F13)</f>
        <v>148.87999999999997</v>
      </c>
      <c r="G14" s="96">
        <f>SUM(G8:G13)</f>
        <v>957.48</v>
      </c>
      <c r="H14" s="96"/>
      <c r="I14" s="96"/>
      <c r="J14" s="96"/>
      <c r="K14" s="96"/>
      <c r="L14" s="96"/>
      <c r="M14" s="96"/>
      <c r="N14" s="96"/>
      <c r="O14" s="96"/>
    </row>
    <row r="15" spans="1:15" ht="18" x14ac:dyDescent="0.3">
      <c r="A15" s="257" t="s">
        <v>21</v>
      </c>
      <c r="B15" s="257"/>
      <c r="C15" s="257"/>
      <c r="D15" s="257"/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8"/>
    </row>
    <row r="16" spans="1:15" s="41" customFormat="1" ht="13.8" x14ac:dyDescent="0.3">
      <c r="A16" s="40"/>
      <c r="B16" s="30" t="s">
        <v>100</v>
      </c>
      <c r="C16" s="40">
        <v>100</v>
      </c>
      <c r="D16" s="121">
        <v>8.5</v>
      </c>
      <c r="E16" s="120">
        <v>11.3</v>
      </c>
      <c r="F16" s="121">
        <v>69.7</v>
      </c>
      <c r="G16" s="121">
        <v>414.5</v>
      </c>
      <c r="H16" s="121">
        <v>0.1</v>
      </c>
      <c r="I16" s="121"/>
      <c r="J16" s="121">
        <v>65</v>
      </c>
      <c r="K16" s="121">
        <v>1.3</v>
      </c>
      <c r="L16" s="121">
        <v>41</v>
      </c>
      <c r="M16" s="121">
        <v>87</v>
      </c>
      <c r="N16" s="121">
        <v>15</v>
      </c>
      <c r="O16" s="121">
        <v>1</v>
      </c>
    </row>
    <row r="17" spans="1:15" s="23" customFormat="1" ht="18.75" customHeight="1" x14ac:dyDescent="0.3">
      <c r="A17" s="135">
        <v>338</v>
      </c>
      <c r="B17" s="6" t="s">
        <v>17</v>
      </c>
      <c r="C17" s="135">
        <v>150</v>
      </c>
      <c r="D17" s="12">
        <v>0.4</v>
      </c>
      <c r="E17" s="12">
        <v>0.4</v>
      </c>
      <c r="F17" s="12">
        <v>9.8000000000000007</v>
      </c>
      <c r="G17" s="12">
        <v>47</v>
      </c>
      <c r="H17" s="12">
        <v>0.03</v>
      </c>
      <c r="I17" s="12">
        <v>10</v>
      </c>
      <c r="J17" s="12"/>
      <c r="K17" s="12">
        <v>0.2</v>
      </c>
      <c r="L17" s="12">
        <v>16</v>
      </c>
      <c r="M17" s="12">
        <v>11</v>
      </c>
      <c r="N17" s="12">
        <v>9</v>
      </c>
      <c r="O17" s="12">
        <v>2.2000000000000002</v>
      </c>
    </row>
    <row r="18" spans="1:15" x14ac:dyDescent="0.3">
      <c r="A18" s="94" t="s">
        <v>43</v>
      </c>
      <c r="B18" s="95"/>
      <c r="C18" s="95"/>
      <c r="D18" s="96">
        <f>SUM(D16:D17)</f>
        <v>8.9</v>
      </c>
      <c r="E18" s="96">
        <f>SUM(E16:E17)</f>
        <v>11.700000000000001</v>
      </c>
      <c r="F18" s="96">
        <f>SUM(F16:F17)</f>
        <v>79.5</v>
      </c>
      <c r="G18" s="96">
        <f>SUM(G16:G17)</f>
        <v>461.5</v>
      </c>
      <c r="H18" s="96"/>
      <c r="I18" s="96"/>
      <c r="J18" s="96"/>
      <c r="K18" s="96"/>
      <c r="L18" s="96"/>
      <c r="M18" s="96"/>
      <c r="N18" s="96"/>
      <c r="O18" s="96"/>
    </row>
    <row r="19" spans="1:15" ht="27.6" x14ac:dyDescent="0.3">
      <c r="A19" s="94" t="s">
        <v>15</v>
      </c>
      <c r="B19" s="95"/>
      <c r="C19" s="95"/>
      <c r="D19" s="111">
        <f>SUM(D14,D18)</f>
        <v>40.300000000000004</v>
      </c>
      <c r="E19" s="111">
        <f>SUM(E14,E18)</f>
        <v>36.480000000000004</v>
      </c>
      <c r="F19" s="111">
        <f>SUM(F14,F18)</f>
        <v>228.37999999999997</v>
      </c>
      <c r="G19" s="111">
        <f>SUM(G14,G18)</f>
        <v>1418.98</v>
      </c>
      <c r="H19" s="108"/>
      <c r="I19" s="108"/>
      <c r="J19" s="108"/>
      <c r="K19" s="108"/>
      <c r="L19" s="108"/>
      <c r="M19" s="108"/>
      <c r="N19" s="108"/>
      <c r="O19" s="108"/>
    </row>
    <row r="20" spans="1:15" ht="15" thickBot="1" x14ac:dyDescent="0.35"/>
    <row r="21" spans="1:15" ht="40.200000000000003" thickBot="1" x14ac:dyDescent="0.35">
      <c r="B21" s="188" t="s">
        <v>44</v>
      </c>
      <c r="C21" s="189"/>
      <c r="D21" s="189"/>
      <c r="E21" s="189"/>
      <c r="F21" s="192" t="s">
        <v>45</v>
      </c>
      <c r="G21" s="193"/>
      <c r="H21" s="194"/>
      <c r="I21" s="33" t="s">
        <v>46</v>
      </c>
    </row>
    <row r="22" spans="1:15" ht="15" thickBot="1" x14ac:dyDescent="0.35">
      <c r="B22" s="190"/>
      <c r="C22" s="191"/>
      <c r="D22" s="191"/>
      <c r="E22" s="191"/>
      <c r="F22" s="34" t="s">
        <v>1</v>
      </c>
      <c r="G22" s="34" t="s">
        <v>2</v>
      </c>
      <c r="H22" s="34" t="s">
        <v>3</v>
      </c>
      <c r="I22" s="35"/>
    </row>
    <row r="23" spans="1:15" ht="15" thickBot="1" x14ac:dyDescent="0.35">
      <c r="B23" s="165" t="s">
        <v>48</v>
      </c>
      <c r="C23" s="166"/>
      <c r="D23" s="166"/>
      <c r="E23" s="166"/>
      <c r="F23" s="34" t="s">
        <v>49</v>
      </c>
      <c r="G23" s="34" t="s">
        <v>50</v>
      </c>
      <c r="H23" s="34" t="s">
        <v>51</v>
      </c>
      <c r="I23" s="34" t="s">
        <v>104</v>
      </c>
    </row>
    <row r="24" spans="1:15" ht="15" thickBot="1" x14ac:dyDescent="0.35">
      <c r="B24" s="165" t="s">
        <v>47</v>
      </c>
      <c r="C24" s="166"/>
      <c r="D24" s="166"/>
      <c r="E24" s="166"/>
      <c r="F24" s="36">
        <f>D19</f>
        <v>40.300000000000004</v>
      </c>
      <c r="G24" s="36">
        <f>E19</f>
        <v>36.480000000000004</v>
      </c>
      <c r="H24" s="36">
        <f>F19</f>
        <v>228.37999999999997</v>
      </c>
      <c r="I24" s="36">
        <f>G19</f>
        <v>1418.98</v>
      </c>
    </row>
    <row r="26" spans="1:15" ht="30.75" customHeight="1" x14ac:dyDescent="0.3">
      <c r="A26" s="14"/>
      <c r="B26" s="185" t="s">
        <v>93</v>
      </c>
      <c r="C26" s="185"/>
      <c r="D26" s="185"/>
      <c r="E26" s="185"/>
      <c r="F26" s="185"/>
      <c r="G26" s="185"/>
      <c r="H26" s="185"/>
    </row>
    <row r="27" spans="1:15" ht="21.75" customHeight="1" x14ac:dyDescent="0.3">
      <c r="A27" s="14"/>
      <c r="B27" s="73" t="s">
        <v>55</v>
      </c>
      <c r="C27" s="180" t="s">
        <v>56</v>
      </c>
      <c r="D27" s="180"/>
      <c r="E27" s="180"/>
      <c r="F27" s="180"/>
      <c r="G27" s="186" t="s">
        <v>94</v>
      </c>
      <c r="H27" s="187"/>
      <c r="K27" s="9" t="s">
        <v>30</v>
      </c>
      <c r="L27" s="8" t="s">
        <v>40</v>
      </c>
    </row>
    <row r="28" spans="1:15" ht="21.75" customHeight="1" x14ac:dyDescent="0.3">
      <c r="A28" s="14"/>
      <c r="B28" s="183"/>
      <c r="C28" s="181" t="s">
        <v>57</v>
      </c>
      <c r="D28" s="182"/>
      <c r="E28" s="181" t="s">
        <v>58</v>
      </c>
      <c r="F28" s="182"/>
      <c r="G28" s="73" t="s">
        <v>57</v>
      </c>
      <c r="H28" s="73" t="s">
        <v>58</v>
      </c>
      <c r="K28" s="9" t="s">
        <v>32</v>
      </c>
      <c r="L28" s="8" t="s">
        <v>33</v>
      </c>
    </row>
    <row r="29" spans="1:15" ht="28.8" x14ac:dyDescent="0.3">
      <c r="A29" s="14"/>
      <c r="B29" s="184"/>
      <c r="C29" s="181" t="s">
        <v>37</v>
      </c>
      <c r="D29" s="182"/>
      <c r="E29" s="181" t="s">
        <v>37</v>
      </c>
      <c r="F29" s="182"/>
      <c r="G29" s="73" t="s">
        <v>37</v>
      </c>
      <c r="H29" s="73" t="s">
        <v>37</v>
      </c>
      <c r="K29" s="9" t="s">
        <v>34</v>
      </c>
      <c r="L29" s="8" t="s">
        <v>35</v>
      </c>
    </row>
    <row r="30" spans="1:15" ht="15.6" customHeight="1" x14ac:dyDescent="0.3">
      <c r="A30" s="14"/>
      <c r="B30" s="74" t="s">
        <v>59</v>
      </c>
      <c r="C30" s="172">
        <v>80</v>
      </c>
      <c r="D30" s="173"/>
      <c r="E30" s="172">
        <v>80</v>
      </c>
      <c r="F30" s="173"/>
      <c r="G30" s="75">
        <v>40</v>
      </c>
      <c r="H30" s="75">
        <v>40</v>
      </c>
      <c r="K30" s="9" t="s">
        <v>36</v>
      </c>
      <c r="L30" s="8" t="s">
        <v>37</v>
      </c>
    </row>
    <row r="31" spans="1:15" x14ac:dyDescent="0.3">
      <c r="A31" s="14"/>
      <c r="B31" s="74" t="s">
        <v>60</v>
      </c>
      <c r="C31" s="172">
        <v>150</v>
      </c>
      <c r="D31" s="173"/>
      <c r="E31" s="172">
        <v>150</v>
      </c>
      <c r="F31" s="173"/>
      <c r="G31" s="75">
        <f>40+30+8</f>
        <v>78</v>
      </c>
      <c r="H31" s="75">
        <v>78</v>
      </c>
    </row>
    <row r="32" spans="1:15" x14ac:dyDescent="0.3">
      <c r="A32" s="14"/>
      <c r="B32" s="74" t="s">
        <v>61</v>
      </c>
      <c r="C32" s="172">
        <v>15</v>
      </c>
      <c r="D32" s="173"/>
      <c r="E32" s="172">
        <v>15</v>
      </c>
      <c r="F32" s="173"/>
      <c r="G32" s="75">
        <f>4+3.75+35.56+1.48</f>
        <v>44.79</v>
      </c>
      <c r="H32" s="75">
        <v>44.79</v>
      </c>
    </row>
    <row r="33" spans="1:8" x14ac:dyDescent="0.3">
      <c r="A33" s="14"/>
      <c r="B33" s="76" t="s">
        <v>62</v>
      </c>
      <c r="C33" s="174">
        <v>45</v>
      </c>
      <c r="D33" s="175"/>
      <c r="E33" s="174">
        <v>45</v>
      </c>
      <c r="F33" s="175"/>
      <c r="G33" s="77">
        <f>40+35</f>
        <v>75</v>
      </c>
      <c r="H33" s="77">
        <v>75</v>
      </c>
    </row>
    <row r="34" spans="1:8" x14ac:dyDescent="0.3">
      <c r="A34" s="14"/>
      <c r="B34" s="74" t="s">
        <v>63</v>
      </c>
      <c r="C34" s="172">
        <v>15</v>
      </c>
      <c r="D34" s="173"/>
      <c r="E34" s="172">
        <v>15</v>
      </c>
      <c r="F34" s="173"/>
      <c r="G34" s="75"/>
      <c r="H34" s="75"/>
    </row>
    <row r="35" spans="1:8" x14ac:dyDescent="0.3">
      <c r="A35" s="14"/>
      <c r="B35" s="74" t="s">
        <v>64</v>
      </c>
      <c r="C35" s="172" t="s">
        <v>65</v>
      </c>
      <c r="D35" s="173"/>
      <c r="E35" s="195">
        <v>188</v>
      </c>
      <c r="F35" s="196"/>
      <c r="G35" s="75">
        <v>40</v>
      </c>
      <c r="H35" s="75">
        <v>30</v>
      </c>
    </row>
    <row r="36" spans="1:8" x14ac:dyDescent="0.3">
      <c r="A36" s="14"/>
      <c r="B36" s="74" t="s">
        <v>66</v>
      </c>
      <c r="C36" s="172">
        <v>350</v>
      </c>
      <c r="D36" s="173"/>
      <c r="E36" s="172" t="s">
        <v>67</v>
      </c>
      <c r="F36" s="173"/>
      <c r="G36" s="75">
        <f>85.6+24+5+63+12.5+3.25+12+2.5</f>
        <v>207.85</v>
      </c>
      <c r="H36" s="90">
        <f>67+20+50+10+2.5+10+2.5</f>
        <v>162</v>
      </c>
    </row>
    <row r="37" spans="1:8" x14ac:dyDescent="0.3">
      <c r="A37" s="14"/>
      <c r="B37" s="74" t="s">
        <v>68</v>
      </c>
      <c r="C37" s="172">
        <v>200</v>
      </c>
      <c r="D37" s="173"/>
      <c r="E37" s="172" t="s">
        <v>69</v>
      </c>
      <c r="F37" s="173"/>
      <c r="G37" s="75">
        <f>35.7+100</f>
        <v>135.69999999999999</v>
      </c>
      <c r="H37" s="75">
        <v>135.69999999999999</v>
      </c>
    </row>
    <row r="38" spans="1:8" ht="26.4" x14ac:dyDescent="0.3">
      <c r="A38" s="14"/>
      <c r="B38" s="74" t="s">
        <v>70</v>
      </c>
      <c r="C38" s="172">
        <v>15</v>
      </c>
      <c r="D38" s="173"/>
      <c r="E38" s="172">
        <v>15</v>
      </c>
      <c r="F38" s="173"/>
      <c r="G38" s="75"/>
      <c r="H38" s="75"/>
    </row>
    <row r="39" spans="1:8" ht="39.6" x14ac:dyDescent="0.3">
      <c r="A39" s="14"/>
      <c r="B39" s="74" t="s">
        <v>71</v>
      </c>
      <c r="C39" s="172">
        <v>200</v>
      </c>
      <c r="D39" s="173"/>
      <c r="E39" s="172">
        <v>200</v>
      </c>
      <c r="F39" s="173"/>
      <c r="G39" s="75">
        <v>200</v>
      </c>
      <c r="H39" s="75">
        <v>200</v>
      </c>
    </row>
    <row r="40" spans="1:8" ht="26.4" x14ac:dyDescent="0.3">
      <c r="A40" s="14"/>
      <c r="B40" s="74" t="s">
        <v>72</v>
      </c>
      <c r="C40" s="172" t="s">
        <v>73</v>
      </c>
      <c r="D40" s="173"/>
      <c r="E40" s="172">
        <v>70</v>
      </c>
      <c r="F40" s="173"/>
      <c r="G40" s="90">
        <f>52+40</f>
        <v>92</v>
      </c>
      <c r="H40" s="75">
        <f>38+25</f>
        <v>63</v>
      </c>
    </row>
    <row r="41" spans="1:8" ht="26.4" x14ac:dyDescent="0.3">
      <c r="A41" s="14"/>
      <c r="B41" s="74" t="s">
        <v>74</v>
      </c>
      <c r="C41" s="172" t="s">
        <v>75</v>
      </c>
      <c r="D41" s="173"/>
      <c r="E41" s="172">
        <v>35</v>
      </c>
      <c r="F41" s="173"/>
      <c r="G41" s="75"/>
      <c r="H41" s="75"/>
    </row>
    <row r="42" spans="1:8" x14ac:dyDescent="0.3">
      <c r="A42" s="14"/>
      <c r="B42" s="74" t="s">
        <v>76</v>
      </c>
      <c r="C42" s="172">
        <v>60</v>
      </c>
      <c r="D42" s="173"/>
      <c r="E42" s="172">
        <v>58</v>
      </c>
      <c r="F42" s="173"/>
      <c r="G42" s="75"/>
      <c r="H42" s="75"/>
    </row>
    <row r="43" spans="1:8" x14ac:dyDescent="0.3">
      <c r="A43" s="14"/>
      <c r="B43" s="74" t="s">
        <v>77</v>
      </c>
      <c r="C43" s="172">
        <v>15</v>
      </c>
      <c r="D43" s="173"/>
      <c r="E43" s="172">
        <v>14.7</v>
      </c>
      <c r="F43" s="173"/>
      <c r="G43" s="75"/>
      <c r="H43" s="75"/>
    </row>
    <row r="44" spans="1:8" ht="26.4" x14ac:dyDescent="0.3">
      <c r="A44" s="14"/>
      <c r="B44" s="74" t="s">
        <v>78</v>
      </c>
      <c r="C44" s="172">
        <v>300</v>
      </c>
      <c r="D44" s="173"/>
      <c r="E44" s="172">
        <v>300</v>
      </c>
      <c r="F44" s="173"/>
      <c r="G44" s="75">
        <f>100+211+100</f>
        <v>411</v>
      </c>
      <c r="H44" s="75">
        <f>400</f>
        <v>400</v>
      </c>
    </row>
    <row r="45" spans="1:8" ht="39.6" x14ac:dyDescent="0.3">
      <c r="A45" s="14"/>
      <c r="B45" s="74" t="s">
        <v>79</v>
      </c>
      <c r="C45" s="172">
        <v>150</v>
      </c>
      <c r="D45" s="173"/>
      <c r="E45" s="172">
        <v>150</v>
      </c>
      <c r="F45" s="173"/>
      <c r="G45" s="75"/>
      <c r="H45" s="75"/>
    </row>
    <row r="46" spans="1:8" ht="26.4" x14ac:dyDescent="0.3">
      <c r="A46" s="14"/>
      <c r="B46" s="74" t="s">
        <v>80</v>
      </c>
      <c r="C46" s="172">
        <v>50</v>
      </c>
      <c r="D46" s="173"/>
      <c r="E46" s="172">
        <v>50</v>
      </c>
      <c r="F46" s="173"/>
      <c r="G46" s="75"/>
      <c r="H46" s="75"/>
    </row>
    <row r="47" spans="1:8" x14ac:dyDescent="0.3">
      <c r="A47" s="14"/>
      <c r="B47" s="74" t="s">
        <v>81</v>
      </c>
      <c r="C47" s="172">
        <v>10</v>
      </c>
      <c r="D47" s="173"/>
      <c r="E47" s="172">
        <v>9.8000000000000007</v>
      </c>
      <c r="F47" s="173"/>
      <c r="G47" s="75"/>
      <c r="H47" s="90"/>
    </row>
    <row r="48" spans="1:8" ht="26.4" x14ac:dyDescent="0.3">
      <c r="A48" s="14"/>
      <c r="B48" s="74" t="s">
        <v>82</v>
      </c>
      <c r="C48" s="172">
        <v>10</v>
      </c>
      <c r="D48" s="173"/>
      <c r="E48" s="172">
        <v>10</v>
      </c>
      <c r="F48" s="173"/>
      <c r="G48" s="80"/>
      <c r="H48" s="80"/>
    </row>
    <row r="49" spans="1:8" x14ac:dyDescent="0.3">
      <c r="A49" s="14"/>
      <c r="B49" s="74" t="s">
        <v>83</v>
      </c>
      <c r="C49" s="172">
        <v>30</v>
      </c>
      <c r="D49" s="173"/>
      <c r="E49" s="172">
        <v>30</v>
      </c>
      <c r="F49" s="173"/>
      <c r="G49" s="75">
        <f>10+10+1.1+1.5+1.3+5</f>
        <v>28.900000000000002</v>
      </c>
      <c r="H49" s="75">
        <v>28.9</v>
      </c>
    </row>
    <row r="50" spans="1:8" x14ac:dyDescent="0.3">
      <c r="A50" s="14"/>
      <c r="B50" s="74" t="s">
        <v>84</v>
      </c>
      <c r="C50" s="172">
        <v>15</v>
      </c>
      <c r="D50" s="173"/>
      <c r="E50" s="172">
        <v>15</v>
      </c>
      <c r="F50" s="173"/>
      <c r="G50" s="75">
        <f>6+3+3+5</f>
        <v>17</v>
      </c>
      <c r="H50" s="75">
        <v>17</v>
      </c>
    </row>
    <row r="51" spans="1:8" x14ac:dyDescent="0.3">
      <c r="A51" s="14"/>
      <c r="B51" s="74" t="s">
        <v>85</v>
      </c>
      <c r="C51" s="172" t="s">
        <v>86</v>
      </c>
      <c r="D51" s="173"/>
      <c r="E51" s="172">
        <v>40</v>
      </c>
      <c r="F51" s="173"/>
      <c r="G51" s="75"/>
      <c r="H51" s="75"/>
    </row>
    <row r="52" spans="1:8" x14ac:dyDescent="0.3">
      <c r="A52" s="14"/>
      <c r="B52" s="74" t="s">
        <v>87</v>
      </c>
      <c r="C52" s="172">
        <v>40</v>
      </c>
      <c r="D52" s="173"/>
      <c r="E52" s="195">
        <v>40</v>
      </c>
      <c r="F52" s="196"/>
      <c r="G52" s="75">
        <f>20+6+3+3.7+1</f>
        <v>33.700000000000003</v>
      </c>
      <c r="H52" s="75">
        <v>33.700000000000003</v>
      </c>
    </row>
    <row r="53" spans="1:8" x14ac:dyDescent="0.3">
      <c r="A53" s="14"/>
      <c r="B53" s="74" t="s">
        <v>88</v>
      </c>
      <c r="C53" s="195">
        <v>10</v>
      </c>
      <c r="D53" s="196"/>
      <c r="E53" s="172">
        <v>10</v>
      </c>
      <c r="F53" s="173"/>
      <c r="G53" s="75"/>
      <c r="H53" s="75"/>
    </row>
    <row r="54" spans="1:8" x14ac:dyDescent="0.3">
      <c r="A54" s="14"/>
      <c r="B54" s="74" t="s">
        <v>89</v>
      </c>
      <c r="C54" s="172">
        <v>0.4</v>
      </c>
      <c r="D54" s="173"/>
      <c r="E54" s="172">
        <v>0.4</v>
      </c>
      <c r="F54" s="173"/>
      <c r="G54" s="75">
        <v>1</v>
      </c>
      <c r="H54" s="75">
        <v>1</v>
      </c>
    </row>
    <row r="55" spans="1:8" x14ac:dyDescent="0.3">
      <c r="A55" s="14"/>
      <c r="B55" s="74" t="s">
        <v>90</v>
      </c>
      <c r="C55" s="172">
        <v>1.2</v>
      </c>
      <c r="D55" s="173"/>
      <c r="E55" s="172">
        <v>1.2</v>
      </c>
      <c r="F55" s="173"/>
      <c r="G55" s="75"/>
      <c r="H55" s="75"/>
    </row>
    <row r="56" spans="1:8" x14ac:dyDescent="0.3">
      <c r="A56" s="14"/>
      <c r="B56" s="74" t="s">
        <v>91</v>
      </c>
      <c r="C56" s="172">
        <v>1</v>
      </c>
      <c r="D56" s="173"/>
      <c r="E56" s="172">
        <v>1</v>
      </c>
      <c r="F56" s="173"/>
      <c r="G56" s="75"/>
      <c r="H56" s="75"/>
    </row>
    <row r="57" spans="1:8" x14ac:dyDescent="0.3">
      <c r="A57" s="14"/>
      <c r="B57" s="74" t="s">
        <v>92</v>
      </c>
      <c r="C57" s="172">
        <v>5</v>
      </c>
      <c r="D57" s="173"/>
      <c r="E57" s="172">
        <v>5</v>
      </c>
      <c r="F57" s="173"/>
      <c r="G57" s="75">
        <v>3.56</v>
      </c>
      <c r="H57" s="75">
        <v>3.56</v>
      </c>
    </row>
    <row r="58" spans="1:8" x14ac:dyDescent="0.3">
      <c r="A58" s="14"/>
      <c r="B58" s="14"/>
      <c r="C58" s="14"/>
      <c r="D58" s="14"/>
      <c r="E58" s="14"/>
      <c r="F58" s="14"/>
      <c r="G58" s="14"/>
      <c r="H58" s="14"/>
    </row>
    <row r="59" spans="1:8" x14ac:dyDescent="0.3">
      <c r="A59" s="14"/>
      <c r="B59" s="14"/>
      <c r="C59" s="14"/>
      <c r="D59" s="14"/>
      <c r="E59" s="14"/>
      <c r="F59" s="14"/>
      <c r="G59" s="14"/>
      <c r="H59" s="14"/>
    </row>
  </sheetData>
  <sheetProtection formatCells="0" formatColumns="0" formatRows="0" insertColumns="0" insertRows="0" insertHyperlinks="0" deleteColumns="0" deleteRows="0" sort="0" autoFilter="0" pivotTables="0"/>
  <mergeCells count="77">
    <mergeCell ref="E57:F57"/>
    <mergeCell ref="E48:F48"/>
    <mergeCell ref="E49:F49"/>
    <mergeCell ref="E50:F50"/>
    <mergeCell ref="C37:D37"/>
    <mergeCell ref="E38:F38"/>
    <mergeCell ref="E39:F39"/>
    <mergeCell ref="E51:F51"/>
    <mergeCell ref="E52:F52"/>
    <mergeCell ref="E43:F43"/>
    <mergeCell ref="C57:D57"/>
    <mergeCell ref="C56:D56"/>
    <mergeCell ref="C55:D55"/>
    <mergeCell ref="C54:D54"/>
    <mergeCell ref="C53:D53"/>
    <mergeCell ref="C52:D52"/>
    <mergeCell ref="C36:D36"/>
    <mergeCell ref="C35:D35"/>
    <mergeCell ref="C34:D34"/>
    <mergeCell ref="C33:D33"/>
    <mergeCell ref="C42:D42"/>
    <mergeCell ref="C41:D41"/>
    <mergeCell ref="C40:D40"/>
    <mergeCell ref="C39:D39"/>
    <mergeCell ref="C38:D38"/>
    <mergeCell ref="E33:F33"/>
    <mergeCell ref="E34:F34"/>
    <mergeCell ref="E35:F35"/>
    <mergeCell ref="E36:F36"/>
    <mergeCell ref="E37:F37"/>
    <mergeCell ref="C46:D46"/>
    <mergeCell ref="C45:D45"/>
    <mergeCell ref="C44:D44"/>
    <mergeCell ref="C43:D43"/>
    <mergeCell ref="E54:F54"/>
    <mergeCell ref="C51:D51"/>
    <mergeCell ref="C50:D50"/>
    <mergeCell ref="C49:D49"/>
    <mergeCell ref="C48:D48"/>
    <mergeCell ref="C47:D47"/>
    <mergeCell ref="E55:F55"/>
    <mergeCell ref="E53:F53"/>
    <mergeCell ref="E56:F56"/>
    <mergeCell ref="E46:F46"/>
    <mergeCell ref="E47:F47"/>
    <mergeCell ref="E40:F40"/>
    <mergeCell ref="E41:F41"/>
    <mergeCell ref="E42:F42"/>
    <mergeCell ref="E44:F44"/>
    <mergeCell ref="E45:F45"/>
    <mergeCell ref="C30:D30"/>
    <mergeCell ref="E30:F30"/>
    <mergeCell ref="C32:D32"/>
    <mergeCell ref="C31:D31"/>
    <mergeCell ref="E31:F31"/>
    <mergeCell ref="E32:F32"/>
    <mergeCell ref="B26:H26"/>
    <mergeCell ref="C27:F27"/>
    <mergeCell ref="B28:B29"/>
    <mergeCell ref="C28:D28"/>
    <mergeCell ref="E28:F28"/>
    <mergeCell ref="G27:H27"/>
    <mergeCell ref="E29:F29"/>
    <mergeCell ref="C29:D29"/>
    <mergeCell ref="B21:E22"/>
    <mergeCell ref="F21:H21"/>
    <mergeCell ref="B23:E23"/>
    <mergeCell ref="B24:E24"/>
    <mergeCell ref="A7:O7"/>
    <mergeCell ref="A15:O15"/>
    <mergeCell ref="H5:K5"/>
    <mergeCell ref="L5:O5"/>
    <mergeCell ref="A5:A6"/>
    <mergeCell ref="B5:B6"/>
    <mergeCell ref="C5:C6"/>
    <mergeCell ref="D5:F5"/>
    <mergeCell ref="G5:G6"/>
  </mergeCells>
  <pageMargins left="0.70866141732283472" right="0.70866141732283472" top="0.74803149606299213" bottom="0.74803149606299213" header="0.31496062992125984" footer="0.31496062992125984"/>
  <pageSetup paperSize="9" scale="76" fitToWidth="2" fitToHeight="2" orientation="landscape" r:id="rId1"/>
  <rowBreaks count="1" manualBreakCount="1">
    <brk id="25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O77"/>
  <sheetViews>
    <sheetView view="pageBreakPreview" topLeftCell="A4" zoomScale="80" zoomScaleNormal="90" zoomScaleSheetLayoutView="80" workbookViewId="0">
      <selection activeCell="A8" sqref="A8:O8"/>
    </sheetView>
  </sheetViews>
  <sheetFormatPr defaultRowHeight="14.4" x14ac:dyDescent="0.3"/>
  <cols>
    <col min="1" max="1" width="12.6640625" bestFit="1" customWidth="1"/>
    <col min="2" max="2" width="24.5546875" customWidth="1"/>
    <col min="7" max="7" width="12.6640625" customWidth="1"/>
    <col min="10" max="10" width="10.109375" bestFit="1" customWidth="1"/>
  </cols>
  <sheetData>
    <row r="1" spans="1:15" ht="15.6" x14ac:dyDescent="0.3">
      <c r="A1" s="9" t="s">
        <v>30</v>
      </c>
      <c r="B1" s="8" t="s">
        <v>41</v>
      </c>
    </row>
    <row r="2" spans="1:15" ht="15.6" x14ac:dyDescent="0.3">
      <c r="A2" s="9" t="s">
        <v>32</v>
      </c>
      <c r="B2" s="8" t="s">
        <v>33</v>
      </c>
    </row>
    <row r="3" spans="1:15" ht="15.6" x14ac:dyDescent="0.3">
      <c r="A3" s="9" t="s">
        <v>34</v>
      </c>
      <c r="B3" s="8" t="s">
        <v>35</v>
      </c>
    </row>
    <row r="4" spans="1:15" ht="31.2" x14ac:dyDescent="0.3">
      <c r="A4" s="9" t="s">
        <v>36</v>
      </c>
      <c r="B4" s="8" t="s">
        <v>37</v>
      </c>
    </row>
    <row r="5" spans="1:15" ht="15.6" x14ac:dyDescent="0.3">
      <c r="A5" s="253" t="s">
        <v>25</v>
      </c>
      <c r="B5" s="253" t="s">
        <v>20</v>
      </c>
      <c r="C5" s="253" t="s">
        <v>23</v>
      </c>
      <c r="D5" s="250" t="s">
        <v>28</v>
      </c>
      <c r="E5" s="251"/>
      <c r="F5" s="252"/>
      <c r="G5" s="253" t="s">
        <v>0</v>
      </c>
      <c r="H5" s="250" t="s">
        <v>27</v>
      </c>
      <c r="I5" s="251"/>
      <c r="J5" s="251"/>
      <c r="K5" s="252"/>
      <c r="L5" s="250" t="s">
        <v>26</v>
      </c>
      <c r="M5" s="251"/>
      <c r="N5" s="251"/>
      <c r="O5" s="252"/>
    </row>
    <row r="6" spans="1:15" ht="15.6" x14ac:dyDescent="0.3">
      <c r="A6" s="254"/>
      <c r="B6" s="255"/>
      <c r="C6" s="256"/>
      <c r="D6" s="5" t="s">
        <v>1</v>
      </c>
      <c r="E6" s="5" t="s">
        <v>2</v>
      </c>
      <c r="F6" s="5" t="s">
        <v>3</v>
      </c>
      <c r="G6" s="254"/>
      <c r="H6" s="5" t="s">
        <v>19</v>
      </c>
      <c r="I6" s="5" t="s">
        <v>4</v>
      </c>
      <c r="J6" s="5" t="s">
        <v>5</v>
      </c>
      <c r="K6" s="5" t="s">
        <v>6</v>
      </c>
      <c r="L6" s="5" t="s">
        <v>7</v>
      </c>
      <c r="M6" s="5" t="s">
        <v>122</v>
      </c>
      <c r="N6" s="5" t="s">
        <v>9</v>
      </c>
      <c r="O6" s="5" t="s">
        <v>10</v>
      </c>
    </row>
    <row r="7" spans="1:15" s="10" customFormat="1" ht="18" x14ac:dyDescent="0.3">
      <c r="B7" s="52"/>
      <c r="C7" s="52"/>
      <c r="D7" s="52"/>
      <c r="E7" s="52"/>
      <c r="F7" s="52"/>
      <c r="G7" s="49" t="s">
        <v>22</v>
      </c>
      <c r="H7" s="52"/>
      <c r="I7" s="52"/>
      <c r="J7" s="52"/>
      <c r="K7" s="52"/>
      <c r="L7" s="52"/>
      <c r="M7" s="52"/>
      <c r="N7" s="52"/>
      <c r="O7" s="53"/>
    </row>
    <row r="8" spans="1:15" s="23" customFormat="1" ht="41.4" x14ac:dyDescent="0.3">
      <c r="A8" s="135">
        <v>55</v>
      </c>
      <c r="B8" s="6" t="s">
        <v>107</v>
      </c>
      <c r="C8" s="135">
        <v>250</v>
      </c>
      <c r="D8" s="12">
        <v>2</v>
      </c>
      <c r="E8" s="12">
        <v>5.4</v>
      </c>
      <c r="F8" s="12">
        <v>8.8000000000000007</v>
      </c>
      <c r="G8" s="12">
        <v>96</v>
      </c>
      <c r="H8" s="12">
        <v>0.06</v>
      </c>
      <c r="I8" s="12">
        <v>0</v>
      </c>
      <c r="J8" s="12"/>
      <c r="K8" s="12">
        <v>0</v>
      </c>
      <c r="L8" s="12">
        <v>40.619999999999997</v>
      </c>
      <c r="M8" s="12">
        <v>0.06</v>
      </c>
      <c r="N8" s="12">
        <v>19.86</v>
      </c>
      <c r="O8" s="12">
        <v>0.73</v>
      </c>
    </row>
    <row r="9" spans="1:15" s="144" customFormat="1" x14ac:dyDescent="0.3">
      <c r="A9" s="142">
        <v>103</v>
      </c>
      <c r="B9" s="137" t="s">
        <v>131</v>
      </c>
      <c r="C9" s="142">
        <v>90</v>
      </c>
      <c r="D9" s="143">
        <v>12.7</v>
      </c>
      <c r="E9" s="143">
        <v>14</v>
      </c>
      <c r="F9" s="143">
        <v>19.940000000000001</v>
      </c>
      <c r="G9" s="143">
        <v>240</v>
      </c>
      <c r="H9" s="143">
        <v>9.4E-2</v>
      </c>
      <c r="I9" s="143">
        <v>1.76</v>
      </c>
      <c r="J9" s="143">
        <v>30</v>
      </c>
      <c r="K9" s="143">
        <v>5.22</v>
      </c>
      <c r="L9" s="143">
        <v>81.84</v>
      </c>
      <c r="M9" s="143">
        <v>184.62</v>
      </c>
      <c r="N9" s="143">
        <v>55.12</v>
      </c>
      <c r="O9" s="143">
        <v>1.54</v>
      </c>
    </row>
    <row r="10" spans="1:15" s="10" customFormat="1" x14ac:dyDescent="0.3">
      <c r="A10" s="135">
        <v>146</v>
      </c>
      <c r="B10" s="6" t="s">
        <v>13</v>
      </c>
      <c r="C10" s="135">
        <v>200</v>
      </c>
      <c r="D10" s="12">
        <v>4.0999999999999996</v>
      </c>
      <c r="E10" s="12">
        <v>14.8</v>
      </c>
      <c r="F10" s="12">
        <v>10.6</v>
      </c>
      <c r="G10" s="12">
        <v>230</v>
      </c>
      <c r="H10" s="12">
        <v>0.16</v>
      </c>
      <c r="I10" s="12">
        <v>13.84</v>
      </c>
      <c r="J10" s="12"/>
      <c r="K10" s="12">
        <v>0</v>
      </c>
      <c r="L10" s="12">
        <v>47.47</v>
      </c>
      <c r="M10" s="12">
        <v>0.14000000000000001</v>
      </c>
      <c r="N10" s="12">
        <v>37.869999999999997</v>
      </c>
      <c r="O10" s="12">
        <v>1.38</v>
      </c>
    </row>
    <row r="11" spans="1:15" s="136" customFormat="1" x14ac:dyDescent="0.3">
      <c r="A11" s="40">
        <v>300</v>
      </c>
      <c r="B11" s="6" t="s">
        <v>123</v>
      </c>
      <c r="C11" s="40">
        <v>200</v>
      </c>
      <c r="D11" s="92">
        <v>0.2</v>
      </c>
      <c r="E11" s="91">
        <v>0</v>
      </c>
      <c r="F11" s="92">
        <v>9.1</v>
      </c>
      <c r="G11" s="91">
        <v>36</v>
      </c>
      <c r="H11" s="92">
        <v>0</v>
      </c>
      <c r="I11" s="91">
        <v>0</v>
      </c>
      <c r="J11" s="92">
        <v>0</v>
      </c>
      <c r="K11" s="91">
        <v>0</v>
      </c>
      <c r="L11" s="92">
        <v>0.26</v>
      </c>
      <c r="M11" s="91">
        <v>0</v>
      </c>
      <c r="N11" s="92">
        <v>0</v>
      </c>
      <c r="O11" s="93">
        <v>0.03</v>
      </c>
    </row>
    <row r="12" spans="1:15" s="10" customFormat="1" x14ac:dyDescent="0.3">
      <c r="A12" s="150">
        <v>1.5</v>
      </c>
      <c r="B12" s="6" t="s">
        <v>14</v>
      </c>
      <c r="C12" s="135">
        <v>50</v>
      </c>
      <c r="D12" s="12">
        <v>2.2400000000000002</v>
      </c>
      <c r="E12" s="12">
        <v>0.88</v>
      </c>
      <c r="F12" s="12">
        <v>19.760000000000002</v>
      </c>
      <c r="G12" s="12">
        <v>91.96</v>
      </c>
      <c r="H12" s="12">
        <v>0.04</v>
      </c>
      <c r="I12" s="12"/>
      <c r="J12" s="12"/>
      <c r="K12" s="12">
        <v>0.36</v>
      </c>
      <c r="L12" s="12">
        <v>9.1999999999999993</v>
      </c>
      <c r="M12" s="12">
        <v>42.4</v>
      </c>
      <c r="N12" s="12">
        <v>10</v>
      </c>
      <c r="O12" s="12">
        <v>1.24</v>
      </c>
    </row>
    <row r="13" spans="1:15" s="10" customFormat="1" x14ac:dyDescent="0.3">
      <c r="A13" s="135">
        <v>1.6</v>
      </c>
      <c r="B13" s="6" t="s">
        <v>60</v>
      </c>
      <c r="C13" s="135">
        <v>50</v>
      </c>
      <c r="D13" s="12">
        <v>3.16</v>
      </c>
      <c r="E13" s="12">
        <v>0.4</v>
      </c>
      <c r="F13" s="12">
        <v>19.32</v>
      </c>
      <c r="G13" s="12">
        <v>93.52</v>
      </c>
      <c r="H13" s="12">
        <v>0.04</v>
      </c>
      <c r="I13" s="12"/>
      <c r="J13" s="12"/>
      <c r="K13" s="12">
        <v>0.52</v>
      </c>
      <c r="L13" s="12">
        <v>9.1999999999999993</v>
      </c>
      <c r="M13" s="12">
        <v>34.799999999999997</v>
      </c>
      <c r="N13" s="12">
        <v>13.2</v>
      </c>
      <c r="O13" s="12">
        <v>0.44</v>
      </c>
    </row>
    <row r="14" spans="1:15" s="10" customFormat="1" x14ac:dyDescent="0.3">
      <c r="A14" s="94" t="s">
        <v>11</v>
      </c>
      <c r="B14" s="95"/>
      <c r="C14" s="95"/>
      <c r="D14" s="108">
        <f>SUM(D8:D13)</f>
        <v>24.399999999999995</v>
      </c>
      <c r="E14" s="108">
        <f>SUM(E8:E13)</f>
        <v>35.480000000000004</v>
      </c>
      <c r="F14" s="108">
        <f>SUM(F8:F13)</f>
        <v>87.52000000000001</v>
      </c>
      <c r="G14" s="108">
        <f>SUM(G8:G13)</f>
        <v>787.48</v>
      </c>
      <c r="H14" s="108"/>
      <c r="I14" s="108"/>
      <c r="J14" s="108"/>
      <c r="K14" s="108"/>
      <c r="L14" s="108"/>
      <c r="M14" s="108"/>
      <c r="N14" s="108"/>
      <c r="O14" s="108"/>
    </row>
    <row r="15" spans="1:15" ht="18" x14ac:dyDescent="0.3">
      <c r="B15" s="47"/>
      <c r="C15" s="47"/>
      <c r="D15" s="47"/>
      <c r="E15" s="47"/>
      <c r="F15" s="47"/>
      <c r="G15" s="46" t="s">
        <v>21</v>
      </c>
      <c r="H15" s="47"/>
      <c r="I15" s="47"/>
      <c r="J15" s="47"/>
      <c r="K15" s="47"/>
      <c r="L15" s="47"/>
      <c r="M15" s="47"/>
      <c r="N15" s="47"/>
      <c r="O15" s="48"/>
    </row>
    <row r="16" spans="1:15" s="138" customFormat="1" ht="13.8" x14ac:dyDescent="0.3">
      <c r="A16" s="63"/>
      <c r="B16" s="137" t="s">
        <v>101</v>
      </c>
      <c r="C16" s="139">
        <v>100</v>
      </c>
      <c r="D16" s="140">
        <v>8.5</v>
      </c>
      <c r="E16" s="141">
        <v>11.3</v>
      </c>
      <c r="F16" s="140">
        <v>69.7</v>
      </c>
      <c r="G16" s="140">
        <v>414.5</v>
      </c>
      <c r="H16" s="140">
        <v>0.1</v>
      </c>
      <c r="I16" s="140"/>
      <c r="J16" s="140">
        <v>65</v>
      </c>
      <c r="K16" s="140">
        <v>1.3</v>
      </c>
      <c r="L16" s="140">
        <v>41</v>
      </c>
      <c r="M16" s="140">
        <v>87</v>
      </c>
      <c r="N16" s="140">
        <v>15</v>
      </c>
      <c r="O16" s="140">
        <v>1</v>
      </c>
    </row>
    <row r="17" spans="1:15" s="62" customFormat="1" x14ac:dyDescent="0.3">
      <c r="A17" s="60">
        <v>338</v>
      </c>
      <c r="B17" s="6" t="s">
        <v>102</v>
      </c>
      <c r="C17" s="85">
        <v>150</v>
      </c>
      <c r="D17" s="61">
        <v>1.5</v>
      </c>
      <c r="E17" s="61">
        <v>0.5</v>
      </c>
      <c r="F17" s="61">
        <v>21</v>
      </c>
      <c r="G17" s="61">
        <v>96</v>
      </c>
      <c r="H17" s="61">
        <v>0.04</v>
      </c>
      <c r="I17" s="61">
        <v>10</v>
      </c>
      <c r="J17" s="61"/>
      <c r="K17" s="61">
        <v>0.4</v>
      </c>
      <c r="L17" s="61">
        <v>8</v>
      </c>
      <c r="M17" s="61">
        <v>28</v>
      </c>
      <c r="N17" s="61">
        <v>42</v>
      </c>
      <c r="O17" s="61">
        <v>0.6</v>
      </c>
    </row>
    <row r="18" spans="1:15" x14ac:dyDescent="0.3">
      <c r="A18" s="94" t="s">
        <v>11</v>
      </c>
      <c r="B18" s="95"/>
      <c r="C18" s="95"/>
      <c r="D18" s="112">
        <f>SUM(D16:D17)</f>
        <v>10</v>
      </c>
      <c r="E18" s="112">
        <f>SUM(E16:E17)</f>
        <v>11.8</v>
      </c>
      <c r="F18" s="112">
        <f>SUM(F16:F17)</f>
        <v>90.7</v>
      </c>
      <c r="G18" s="112">
        <f>SUM(G16:G17)</f>
        <v>510.5</v>
      </c>
      <c r="H18" s="108"/>
      <c r="I18" s="108"/>
      <c r="J18" s="108"/>
      <c r="K18" s="108"/>
      <c r="L18" s="108"/>
      <c r="M18" s="108"/>
      <c r="N18" s="108"/>
      <c r="O18" s="108"/>
    </row>
    <row r="19" spans="1:15" ht="15" customHeight="1" x14ac:dyDescent="0.3">
      <c r="A19" s="94" t="s">
        <v>15</v>
      </c>
      <c r="B19" s="95"/>
      <c r="C19" s="95"/>
      <c r="D19" s="111">
        <f>SUM(D14,D18)</f>
        <v>34.399999999999991</v>
      </c>
      <c r="E19" s="111">
        <f>SUM(E14,E18)</f>
        <v>47.28</v>
      </c>
      <c r="F19" s="111">
        <f>SUM(F14,F18)</f>
        <v>178.22000000000003</v>
      </c>
      <c r="G19" s="111">
        <f>SUM(G14,G18)</f>
        <v>1297.98</v>
      </c>
      <c r="H19" s="110"/>
      <c r="I19" s="110"/>
      <c r="J19" s="110"/>
      <c r="K19" s="110"/>
      <c r="L19" s="110"/>
      <c r="M19" s="110"/>
      <c r="N19" s="110"/>
      <c r="O19" s="110"/>
    </row>
    <row r="20" spans="1:15" ht="15" thickBot="1" x14ac:dyDescent="0.35"/>
    <row r="21" spans="1:15" ht="40.200000000000003" thickBot="1" x14ac:dyDescent="0.35">
      <c r="A21" s="14"/>
      <c r="B21" s="14"/>
      <c r="C21" s="188" t="s">
        <v>44</v>
      </c>
      <c r="D21" s="189"/>
      <c r="E21" s="189"/>
      <c r="F21" s="189"/>
      <c r="G21" s="192" t="s">
        <v>45</v>
      </c>
      <c r="H21" s="193"/>
      <c r="I21" s="194"/>
      <c r="J21" s="33" t="s">
        <v>46</v>
      </c>
      <c r="K21" s="14"/>
      <c r="L21" s="14"/>
      <c r="M21" s="14"/>
      <c r="N21" s="14"/>
      <c r="O21" s="14"/>
    </row>
    <row r="22" spans="1:15" s="10" customFormat="1" ht="15" thickBot="1" x14ac:dyDescent="0.35">
      <c r="A22" s="37"/>
      <c r="B22" s="38"/>
      <c r="C22" s="190"/>
      <c r="D22" s="191"/>
      <c r="E22" s="191"/>
      <c r="F22" s="191"/>
      <c r="G22" s="34" t="s">
        <v>1</v>
      </c>
      <c r="H22" s="34" t="s">
        <v>2</v>
      </c>
      <c r="I22" s="34" t="s">
        <v>3</v>
      </c>
      <c r="J22" s="35"/>
      <c r="K22" s="39"/>
      <c r="L22" s="39"/>
      <c r="M22" s="39"/>
      <c r="N22" s="39"/>
      <c r="O22" s="39"/>
    </row>
    <row r="23" spans="1:15" ht="15" thickBot="1" x14ac:dyDescent="0.35">
      <c r="A23" s="14"/>
      <c r="B23" s="14"/>
      <c r="C23" s="165" t="s">
        <v>48</v>
      </c>
      <c r="D23" s="166"/>
      <c r="E23" s="166"/>
      <c r="F23" s="166"/>
      <c r="G23" s="34" t="s">
        <v>49</v>
      </c>
      <c r="H23" s="34" t="s">
        <v>50</v>
      </c>
      <c r="I23" s="34" t="s">
        <v>51</v>
      </c>
      <c r="J23" s="34" t="s">
        <v>104</v>
      </c>
      <c r="K23" s="14"/>
      <c r="L23" s="14"/>
      <c r="M23" s="14"/>
      <c r="N23" s="14"/>
      <c r="O23" s="14"/>
    </row>
    <row r="24" spans="1:15" ht="15" thickBot="1" x14ac:dyDescent="0.35">
      <c r="A24" s="14"/>
      <c r="B24" s="14"/>
      <c r="C24" s="165" t="s">
        <v>47</v>
      </c>
      <c r="D24" s="166"/>
      <c r="E24" s="166"/>
      <c r="F24" s="166"/>
      <c r="G24" s="36">
        <f>D19</f>
        <v>34.399999999999991</v>
      </c>
      <c r="H24" s="36">
        <f>E19</f>
        <v>47.28</v>
      </c>
      <c r="I24" s="36">
        <f>F19</f>
        <v>178.22000000000003</v>
      </c>
      <c r="J24" s="36">
        <f>G19</f>
        <v>1297.98</v>
      </c>
      <c r="K24" s="14"/>
      <c r="L24" s="14"/>
      <c r="M24" s="14"/>
      <c r="N24" s="14"/>
      <c r="O24" s="14"/>
    </row>
    <row r="25" spans="1:15" x14ac:dyDescent="0.3">
      <c r="K25" s="14"/>
      <c r="L25" s="14"/>
      <c r="M25" s="14"/>
      <c r="N25" s="14"/>
      <c r="O25" s="14"/>
    </row>
    <row r="26" spans="1:15" ht="47.25" customHeight="1" x14ac:dyDescent="0.3">
      <c r="B26" s="185" t="s">
        <v>93</v>
      </c>
      <c r="C26" s="185"/>
      <c r="D26" s="185"/>
      <c r="E26" s="185"/>
      <c r="F26" s="185"/>
      <c r="G26" s="185"/>
      <c r="H26" s="185"/>
    </row>
    <row r="27" spans="1:15" ht="27" customHeight="1" x14ac:dyDescent="0.3">
      <c r="B27" s="73" t="s">
        <v>55</v>
      </c>
      <c r="C27" s="180" t="s">
        <v>56</v>
      </c>
      <c r="D27" s="180"/>
      <c r="E27" s="180"/>
      <c r="F27" s="180"/>
      <c r="G27" s="186" t="s">
        <v>94</v>
      </c>
      <c r="H27" s="187"/>
      <c r="K27" s="9" t="s">
        <v>30</v>
      </c>
      <c r="L27" s="8" t="s">
        <v>41</v>
      </c>
    </row>
    <row r="28" spans="1:15" ht="31.2" x14ac:dyDescent="0.3">
      <c r="B28" s="183"/>
      <c r="C28" s="181" t="s">
        <v>57</v>
      </c>
      <c r="D28" s="182"/>
      <c r="E28" s="181" t="s">
        <v>58</v>
      </c>
      <c r="F28" s="182"/>
      <c r="G28" s="73" t="s">
        <v>57</v>
      </c>
      <c r="H28" s="73" t="s">
        <v>58</v>
      </c>
      <c r="K28" s="9" t="s">
        <v>32</v>
      </c>
      <c r="L28" s="8" t="s">
        <v>33</v>
      </c>
    </row>
    <row r="29" spans="1:15" ht="28.8" x14ac:dyDescent="0.3">
      <c r="B29" s="184"/>
      <c r="C29" s="181" t="s">
        <v>37</v>
      </c>
      <c r="D29" s="182"/>
      <c r="E29" s="181" t="s">
        <v>37</v>
      </c>
      <c r="F29" s="182"/>
      <c r="G29" s="73" t="s">
        <v>37</v>
      </c>
      <c r="H29" s="73" t="s">
        <v>37</v>
      </c>
      <c r="K29" s="9" t="s">
        <v>34</v>
      </c>
      <c r="L29" s="8" t="s">
        <v>35</v>
      </c>
    </row>
    <row r="30" spans="1:15" ht="62.4" x14ac:dyDescent="0.3">
      <c r="B30" s="74" t="s">
        <v>59</v>
      </c>
      <c r="C30" s="172">
        <v>80</v>
      </c>
      <c r="D30" s="173"/>
      <c r="E30" s="172">
        <v>80</v>
      </c>
      <c r="F30" s="173"/>
      <c r="G30" s="75">
        <v>40</v>
      </c>
      <c r="H30" s="75">
        <v>40</v>
      </c>
      <c r="K30" s="9" t="s">
        <v>36</v>
      </c>
      <c r="L30" s="8" t="s">
        <v>37</v>
      </c>
    </row>
    <row r="31" spans="1:15" x14ac:dyDescent="0.3">
      <c r="B31" s="74" t="s">
        <v>60</v>
      </c>
      <c r="C31" s="172">
        <v>150</v>
      </c>
      <c r="D31" s="173"/>
      <c r="E31" s="172">
        <v>150</v>
      </c>
      <c r="F31" s="173"/>
      <c r="G31" s="75">
        <f>50+40</f>
        <v>90</v>
      </c>
      <c r="H31" s="75">
        <v>90</v>
      </c>
    </row>
    <row r="32" spans="1:15" x14ac:dyDescent="0.3">
      <c r="B32" s="74" t="s">
        <v>61</v>
      </c>
      <c r="C32" s="172">
        <v>15</v>
      </c>
      <c r="D32" s="173"/>
      <c r="E32" s="172">
        <v>15</v>
      </c>
      <c r="F32" s="173"/>
      <c r="G32" s="75">
        <f>3+3.75+2.8</f>
        <v>9.5500000000000007</v>
      </c>
      <c r="H32" s="75">
        <f>9.55</f>
        <v>9.5500000000000007</v>
      </c>
    </row>
    <row r="33" spans="2:8" x14ac:dyDescent="0.3">
      <c r="B33" s="76" t="s">
        <v>62</v>
      </c>
      <c r="C33" s="174">
        <v>45</v>
      </c>
      <c r="D33" s="175"/>
      <c r="E33" s="174">
        <v>45</v>
      </c>
      <c r="F33" s="175"/>
      <c r="G33" s="77">
        <f>21+31</f>
        <v>52</v>
      </c>
      <c r="H33" s="77">
        <v>52</v>
      </c>
    </row>
    <row r="34" spans="2:8" x14ac:dyDescent="0.3">
      <c r="B34" s="74" t="s">
        <v>63</v>
      </c>
      <c r="C34" s="172">
        <v>15</v>
      </c>
      <c r="D34" s="173"/>
      <c r="E34" s="172">
        <v>15</v>
      </c>
      <c r="F34" s="173"/>
      <c r="G34" s="75"/>
      <c r="H34" s="75"/>
    </row>
    <row r="35" spans="2:8" x14ac:dyDescent="0.3">
      <c r="B35" s="74" t="s">
        <v>64</v>
      </c>
      <c r="C35" s="172" t="s">
        <v>65</v>
      </c>
      <c r="D35" s="173"/>
      <c r="E35" s="195">
        <v>188</v>
      </c>
      <c r="F35" s="196"/>
      <c r="G35" s="75">
        <f>67+171</f>
        <v>238</v>
      </c>
      <c r="H35" s="75">
        <f>50+129</f>
        <v>179</v>
      </c>
    </row>
    <row r="36" spans="2:8" x14ac:dyDescent="0.3">
      <c r="B36" s="74" t="s">
        <v>66</v>
      </c>
      <c r="C36" s="172">
        <v>350</v>
      </c>
      <c r="D36" s="173"/>
      <c r="E36" s="172" t="s">
        <v>67</v>
      </c>
      <c r="F36" s="173"/>
      <c r="G36" s="75">
        <f>12+12.5+3.25+98.6+12.5</f>
        <v>138.85</v>
      </c>
      <c r="H36" s="90">
        <f>10+10+2.5+78.9+10</f>
        <v>111.4</v>
      </c>
    </row>
    <row r="37" spans="2:8" x14ac:dyDescent="0.3">
      <c r="B37" s="74" t="s">
        <v>68</v>
      </c>
      <c r="C37" s="172">
        <v>200</v>
      </c>
      <c r="D37" s="173"/>
      <c r="E37" s="172" t="s">
        <v>69</v>
      </c>
      <c r="F37" s="173"/>
      <c r="G37" s="75">
        <v>134</v>
      </c>
      <c r="H37" s="75">
        <v>130</v>
      </c>
    </row>
    <row r="38" spans="2:8" ht="26.4" x14ac:dyDescent="0.3">
      <c r="B38" s="74" t="s">
        <v>70</v>
      </c>
      <c r="C38" s="172">
        <v>15</v>
      </c>
      <c r="D38" s="173"/>
      <c r="E38" s="172">
        <v>15</v>
      </c>
      <c r="F38" s="173"/>
      <c r="G38" s="75"/>
      <c r="H38" s="75"/>
    </row>
    <row r="39" spans="2:8" ht="55.5" customHeight="1" x14ac:dyDescent="0.3">
      <c r="B39" s="74" t="s">
        <v>71</v>
      </c>
      <c r="C39" s="172">
        <v>200</v>
      </c>
      <c r="D39" s="173"/>
      <c r="E39" s="172">
        <v>200</v>
      </c>
      <c r="F39" s="173"/>
      <c r="G39" s="75"/>
      <c r="H39" s="75"/>
    </row>
    <row r="40" spans="2:8" ht="26.4" x14ac:dyDescent="0.3">
      <c r="B40" s="74" t="s">
        <v>72</v>
      </c>
      <c r="C40" s="172" t="s">
        <v>73</v>
      </c>
      <c r="D40" s="173"/>
      <c r="E40" s="172">
        <v>70</v>
      </c>
      <c r="F40" s="173"/>
      <c r="G40" s="75">
        <f>81+40</f>
        <v>121</v>
      </c>
      <c r="H40" s="75">
        <f>71+25</f>
        <v>96</v>
      </c>
    </row>
    <row r="41" spans="2:8" ht="26.4" x14ac:dyDescent="0.3">
      <c r="B41" s="74" t="s">
        <v>74</v>
      </c>
      <c r="C41" s="172" t="s">
        <v>75</v>
      </c>
      <c r="D41" s="173"/>
      <c r="E41" s="172">
        <v>35</v>
      </c>
      <c r="F41" s="173"/>
      <c r="G41" s="75"/>
      <c r="H41" s="75"/>
    </row>
    <row r="42" spans="2:8" x14ac:dyDescent="0.3">
      <c r="B42" s="74" t="s">
        <v>76</v>
      </c>
      <c r="C42" s="172">
        <v>60</v>
      </c>
      <c r="D42" s="173"/>
      <c r="E42" s="172">
        <v>58</v>
      </c>
      <c r="F42" s="173"/>
      <c r="G42" s="75"/>
      <c r="H42" s="75"/>
    </row>
    <row r="43" spans="2:8" x14ac:dyDescent="0.3">
      <c r="B43" s="74" t="s">
        <v>77</v>
      </c>
      <c r="C43" s="172">
        <v>15</v>
      </c>
      <c r="D43" s="173"/>
      <c r="E43" s="172">
        <v>14.7</v>
      </c>
      <c r="F43" s="173"/>
      <c r="G43" s="75"/>
      <c r="H43" s="75"/>
    </row>
    <row r="44" spans="2:8" ht="26.4" x14ac:dyDescent="0.3">
      <c r="B44" s="74" t="s">
        <v>78</v>
      </c>
      <c r="C44" s="172">
        <v>300</v>
      </c>
      <c r="D44" s="173"/>
      <c r="E44" s="172">
        <v>300</v>
      </c>
      <c r="F44" s="173"/>
      <c r="G44" s="75">
        <f>100+24+1.92</f>
        <v>125.92</v>
      </c>
      <c r="H44" s="75">
        <v>125.92</v>
      </c>
    </row>
    <row r="45" spans="2:8" ht="39.6" x14ac:dyDescent="0.3">
      <c r="B45" s="74" t="s">
        <v>79</v>
      </c>
      <c r="C45" s="172">
        <v>150</v>
      </c>
      <c r="D45" s="173"/>
      <c r="E45" s="172">
        <v>150</v>
      </c>
      <c r="F45" s="173"/>
      <c r="G45" s="75">
        <v>207</v>
      </c>
      <c r="H45" s="75">
        <v>200</v>
      </c>
    </row>
    <row r="46" spans="2:8" ht="26.4" x14ac:dyDescent="0.3">
      <c r="B46" s="74" t="s">
        <v>80</v>
      </c>
      <c r="C46" s="172">
        <v>50</v>
      </c>
      <c r="D46" s="173"/>
      <c r="E46" s="172">
        <v>50</v>
      </c>
      <c r="F46" s="173"/>
      <c r="G46" s="75"/>
      <c r="H46" s="75"/>
    </row>
    <row r="47" spans="2:8" x14ac:dyDescent="0.3">
      <c r="B47" s="74" t="s">
        <v>81</v>
      </c>
      <c r="C47" s="172">
        <v>10</v>
      </c>
      <c r="D47" s="173"/>
      <c r="E47" s="172">
        <v>9.8000000000000007</v>
      </c>
      <c r="F47" s="173"/>
      <c r="G47" s="75"/>
      <c r="H47" s="90"/>
    </row>
    <row r="48" spans="2:8" ht="26.4" x14ac:dyDescent="0.3">
      <c r="B48" s="74" t="s">
        <v>82</v>
      </c>
      <c r="C48" s="172">
        <v>10</v>
      </c>
      <c r="D48" s="173"/>
      <c r="E48" s="172">
        <v>10</v>
      </c>
      <c r="F48" s="173"/>
      <c r="G48" s="80">
        <v>12.5</v>
      </c>
      <c r="H48" s="80">
        <v>12.5</v>
      </c>
    </row>
    <row r="49" spans="2:8" x14ac:dyDescent="0.3">
      <c r="B49" s="74" t="s">
        <v>83</v>
      </c>
      <c r="C49" s="172">
        <v>30</v>
      </c>
      <c r="D49" s="173"/>
      <c r="E49" s="172">
        <v>30</v>
      </c>
      <c r="F49" s="173"/>
      <c r="G49" s="75">
        <f>5+10+5+10+5.25+3.87</f>
        <v>39.119999999999997</v>
      </c>
      <c r="H49" s="75">
        <f>39.12</f>
        <v>39.119999999999997</v>
      </c>
    </row>
    <row r="50" spans="2:8" x14ac:dyDescent="0.3">
      <c r="B50" s="74" t="s">
        <v>84</v>
      </c>
      <c r="C50" s="172">
        <v>15</v>
      </c>
      <c r="D50" s="173"/>
      <c r="E50" s="172">
        <v>15</v>
      </c>
      <c r="F50" s="173"/>
      <c r="G50" s="75">
        <v>5</v>
      </c>
      <c r="H50" s="75">
        <v>5</v>
      </c>
    </row>
    <row r="51" spans="2:8" x14ac:dyDescent="0.3">
      <c r="B51" s="74" t="s">
        <v>85</v>
      </c>
      <c r="C51" s="172" t="s">
        <v>86</v>
      </c>
      <c r="D51" s="173"/>
      <c r="E51" s="172">
        <v>40</v>
      </c>
      <c r="F51" s="173"/>
      <c r="G51" s="75">
        <v>40</v>
      </c>
      <c r="H51" s="75">
        <v>40</v>
      </c>
    </row>
    <row r="52" spans="2:8" x14ac:dyDescent="0.3">
      <c r="B52" s="74" t="s">
        <v>87</v>
      </c>
      <c r="C52" s="172">
        <v>40</v>
      </c>
      <c r="D52" s="173"/>
      <c r="E52" s="195">
        <v>40</v>
      </c>
      <c r="F52" s="196"/>
      <c r="G52" s="75">
        <f>20+6+5+5.6</f>
        <v>36.6</v>
      </c>
      <c r="H52" s="75">
        <v>36.6</v>
      </c>
    </row>
    <row r="53" spans="2:8" x14ac:dyDescent="0.3">
      <c r="B53" s="74" t="s">
        <v>88</v>
      </c>
      <c r="C53" s="195">
        <v>10</v>
      </c>
      <c r="D53" s="196"/>
      <c r="E53" s="172">
        <v>10</v>
      </c>
      <c r="F53" s="173"/>
      <c r="G53" s="75">
        <v>20</v>
      </c>
      <c r="H53" s="75">
        <v>20</v>
      </c>
    </row>
    <row r="54" spans="2:8" x14ac:dyDescent="0.3">
      <c r="B54" s="74" t="s">
        <v>89</v>
      </c>
      <c r="C54" s="172">
        <v>0.4</v>
      </c>
      <c r="D54" s="173"/>
      <c r="E54" s="172">
        <v>0.4</v>
      </c>
      <c r="F54" s="173"/>
      <c r="G54" s="75">
        <v>1</v>
      </c>
      <c r="H54" s="75">
        <v>1</v>
      </c>
    </row>
    <row r="55" spans="2:8" x14ac:dyDescent="0.3">
      <c r="B55" s="74" t="s">
        <v>90</v>
      </c>
      <c r="C55" s="172">
        <v>1.2</v>
      </c>
      <c r="D55" s="173"/>
      <c r="E55" s="172">
        <v>1.2</v>
      </c>
      <c r="F55" s="173"/>
      <c r="G55" s="75"/>
      <c r="H55" s="75"/>
    </row>
    <row r="56" spans="2:8" x14ac:dyDescent="0.3">
      <c r="B56" s="74" t="s">
        <v>91</v>
      </c>
      <c r="C56" s="172">
        <v>1</v>
      </c>
      <c r="D56" s="173"/>
      <c r="E56" s="172">
        <v>1</v>
      </c>
      <c r="F56" s="173"/>
      <c r="G56" s="75"/>
      <c r="H56" s="75"/>
    </row>
    <row r="57" spans="2:8" x14ac:dyDescent="0.3">
      <c r="B57" s="74" t="s">
        <v>92</v>
      </c>
      <c r="C57" s="172">
        <v>5</v>
      </c>
      <c r="D57" s="173"/>
      <c r="E57" s="172">
        <v>5</v>
      </c>
      <c r="F57" s="173"/>
      <c r="G57" s="75">
        <v>3</v>
      </c>
      <c r="H57" s="75">
        <v>3</v>
      </c>
    </row>
    <row r="58" spans="2:8" x14ac:dyDescent="0.3">
      <c r="B58" s="14"/>
      <c r="C58" s="14"/>
      <c r="D58" s="14"/>
      <c r="E58" s="14"/>
      <c r="F58" s="14"/>
      <c r="G58" s="14"/>
      <c r="H58" s="14"/>
    </row>
    <row r="59" spans="2:8" x14ac:dyDescent="0.3">
      <c r="B59" s="14"/>
      <c r="C59" s="14"/>
      <c r="D59" s="14"/>
      <c r="E59" s="14"/>
      <c r="F59" s="14"/>
      <c r="G59" s="14"/>
      <c r="H59" s="14"/>
    </row>
    <row r="60" spans="2:8" x14ac:dyDescent="0.3">
      <c r="B60" s="14"/>
      <c r="C60" s="14"/>
      <c r="D60" s="14"/>
      <c r="E60" s="14"/>
      <c r="F60" s="14"/>
      <c r="G60" s="14"/>
      <c r="H60" s="14"/>
    </row>
    <row r="61" spans="2:8" x14ac:dyDescent="0.3">
      <c r="B61" s="14"/>
      <c r="C61" s="14"/>
      <c r="D61" s="14"/>
      <c r="E61" s="14"/>
      <c r="F61" s="14"/>
      <c r="G61" s="14"/>
      <c r="H61" s="14"/>
    </row>
    <row r="62" spans="2:8" x14ac:dyDescent="0.3">
      <c r="B62" s="14"/>
      <c r="C62" s="14"/>
      <c r="D62" s="14"/>
      <c r="E62" s="14"/>
      <c r="F62" s="14"/>
      <c r="G62" s="14"/>
      <c r="H62" s="14"/>
    </row>
    <row r="63" spans="2:8" x14ac:dyDescent="0.3">
      <c r="B63" s="14"/>
      <c r="C63" s="14"/>
      <c r="D63" s="14"/>
      <c r="E63" s="14"/>
      <c r="F63" s="14"/>
      <c r="G63" s="14"/>
      <c r="H63" s="14"/>
    </row>
    <row r="64" spans="2:8" x14ac:dyDescent="0.3">
      <c r="B64" s="14"/>
      <c r="C64" s="14"/>
      <c r="D64" s="14"/>
      <c r="E64" s="14"/>
      <c r="F64" s="14"/>
      <c r="G64" s="14"/>
      <c r="H64" s="14"/>
    </row>
    <row r="65" spans="2:8" x14ac:dyDescent="0.3">
      <c r="B65" s="14"/>
      <c r="C65" s="14"/>
      <c r="D65" s="14"/>
      <c r="E65" s="14"/>
      <c r="F65" s="14"/>
      <c r="G65" s="14"/>
      <c r="H65" s="14"/>
    </row>
    <row r="66" spans="2:8" x14ac:dyDescent="0.3">
      <c r="B66" s="14"/>
      <c r="C66" s="14"/>
      <c r="D66" s="14"/>
      <c r="E66" s="14"/>
      <c r="F66" s="14"/>
      <c r="G66" s="14"/>
      <c r="H66" s="14"/>
    </row>
    <row r="67" spans="2:8" x14ac:dyDescent="0.3">
      <c r="B67" s="14"/>
      <c r="C67" s="14"/>
      <c r="D67" s="14"/>
      <c r="E67" s="14"/>
      <c r="F67" s="14"/>
      <c r="G67" s="14"/>
      <c r="H67" s="14"/>
    </row>
    <row r="68" spans="2:8" x14ac:dyDescent="0.3">
      <c r="B68" s="14"/>
      <c r="C68" s="14"/>
      <c r="D68" s="14"/>
      <c r="E68" s="14"/>
      <c r="F68" s="14"/>
      <c r="G68" s="14"/>
      <c r="H68" s="14"/>
    </row>
    <row r="69" spans="2:8" x14ac:dyDescent="0.3">
      <c r="B69" s="14"/>
      <c r="C69" s="14"/>
      <c r="D69" s="14"/>
      <c r="E69" s="14"/>
      <c r="F69" s="14"/>
      <c r="G69" s="14"/>
      <c r="H69" s="14"/>
    </row>
    <row r="70" spans="2:8" x14ac:dyDescent="0.3">
      <c r="B70" s="14"/>
      <c r="C70" s="14"/>
      <c r="D70" s="14"/>
      <c r="E70" s="14"/>
      <c r="F70" s="14"/>
      <c r="G70" s="14"/>
      <c r="H70" s="14"/>
    </row>
    <row r="71" spans="2:8" x14ac:dyDescent="0.3">
      <c r="B71" s="14"/>
      <c r="C71" s="14"/>
      <c r="D71" s="14"/>
      <c r="E71" s="14"/>
      <c r="F71" s="14"/>
      <c r="G71" s="14"/>
      <c r="H71" s="14"/>
    </row>
    <row r="72" spans="2:8" x14ac:dyDescent="0.3">
      <c r="B72" s="14"/>
      <c r="C72" s="14"/>
      <c r="D72" s="14"/>
      <c r="E72" s="14"/>
      <c r="F72" s="14"/>
      <c r="G72" s="14"/>
      <c r="H72" s="14"/>
    </row>
    <row r="73" spans="2:8" x14ac:dyDescent="0.3">
      <c r="B73" s="14"/>
      <c r="C73" s="14"/>
      <c r="D73" s="14"/>
      <c r="E73" s="14"/>
      <c r="F73" s="14"/>
      <c r="G73" s="14"/>
      <c r="H73" s="14"/>
    </row>
    <row r="74" spans="2:8" x14ac:dyDescent="0.3">
      <c r="B74" s="14"/>
      <c r="C74" s="14"/>
      <c r="D74" s="14"/>
      <c r="E74" s="14"/>
      <c r="F74" s="14"/>
      <c r="G74" s="14"/>
      <c r="H74" s="14"/>
    </row>
    <row r="75" spans="2:8" x14ac:dyDescent="0.3">
      <c r="B75" s="14"/>
      <c r="C75" s="14"/>
      <c r="D75" s="14"/>
      <c r="E75" s="14"/>
      <c r="F75" s="14"/>
      <c r="G75" s="14"/>
      <c r="H75" s="14"/>
    </row>
    <row r="76" spans="2:8" x14ac:dyDescent="0.3">
      <c r="B76" s="14"/>
      <c r="C76" s="14"/>
      <c r="D76" s="14"/>
      <c r="E76" s="14"/>
      <c r="F76" s="14"/>
      <c r="G76" s="14"/>
      <c r="H76" s="14"/>
    </row>
    <row r="77" spans="2:8" x14ac:dyDescent="0.3">
      <c r="B77" s="14"/>
      <c r="C77" s="14"/>
      <c r="D77" s="14"/>
      <c r="E77" s="14"/>
      <c r="F77" s="14"/>
      <c r="G77" s="14"/>
      <c r="H77" s="14"/>
    </row>
  </sheetData>
  <sheetProtection formatCells="0" formatColumns="0" formatRows="0" insertColumns="0" insertRows="0" insertHyperlinks="0" deleteColumns="0" deleteRows="0" sort="0" autoFilter="0" pivotTables="0"/>
  <mergeCells count="75">
    <mergeCell ref="E38:F38"/>
    <mergeCell ref="E37:F37"/>
    <mergeCell ref="E36:F36"/>
    <mergeCell ref="E35:F35"/>
    <mergeCell ref="E34:F34"/>
    <mergeCell ref="E43:F43"/>
    <mergeCell ref="E42:F42"/>
    <mergeCell ref="E41:F41"/>
    <mergeCell ref="E40:F40"/>
    <mergeCell ref="E39:F39"/>
    <mergeCell ref="E48:F48"/>
    <mergeCell ref="E47:F47"/>
    <mergeCell ref="E46:F46"/>
    <mergeCell ref="E45:F45"/>
    <mergeCell ref="E44:F44"/>
    <mergeCell ref="E53:F53"/>
    <mergeCell ref="E52:F52"/>
    <mergeCell ref="E51:F51"/>
    <mergeCell ref="E50:F50"/>
    <mergeCell ref="E49:F49"/>
    <mergeCell ref="C54:D54"/>
    <mergeCell ref="C55:D55"/>
    <mergeCell ref="C56:D56"/>
    <mergeCell ref="C57:D57"/>
    <mergeCell ref="E57:F57"/>
    <mergeCell ref="E56:F56"/>
    <mergeCell ref="E55:F55"/>
    <mergeCell ref="E54:F54"/>
    <mergeCell ref="C49:D49"/>
    <mergeCell ref="C50:D50"/>
    <mergeCell ref="C51:D51"/>
    <mergeCell ref="C52:D52"/>
    <mergeCell ref="C53:D53"/>
    <mergeCell ref="C44:D44"/>
    <mergeCell ref="C45:D45"/>
    <mergeCell ref="C46:D46"/>
    <mergeCell ref="C48:D48"/>
    <mergeCell ref="C47:D47"/>
    <mergeCell ref="C39:D39"/>
    <mergeCell ref="C40:D40"/>
    <mergeCell ref="C41:D41"/>
    <mergeCell ref="C42:D42"/>
    <mergeCell ref="C43:D43"/>
    <mergeCell ref="C34:D34"/>
    <mergeCell ref="C35:D35"/>
    <mergeCell ref="C36:D36"/>
    <mergeCell ref="C37:D37"/>
    <mergeCell ref="C38:D38"/>
    <mergeCell ref="C30:D30"/>
    <mergeCell ref="C31:D31"/>
    <mergeCell ref="C32:D32"/>
    <mergeCell ref="C33:D33"/>
    <mergeCell ref="E33:F33"/>
    <mergeCell ref="E32:F32"/>
    <mergeCell ref="E30:F30"/>
    <mergeCell ref="E31:F31"/>
    <mergeCell ref="C27:F27"/>
    <mergeCell ref="B28:B29"/>
    <mergeCell ref="C28:D28"/>
    <mergeCell ref="E28:F28"/>
    <mergeCell ref="G27:H27"/>
    <mergeCell ref="C29:D29"/>
    <mergeCell ref="E29:F29"/>
    <mergeCell ref="C21:F22"/>
    <mergeCell ref="G21:I21"/>
    <mergeCell ref="C23:F23"/>
    <mergeCell ref="C24:F24"/>
    <mergeCell ref="B26:H26"/>
    <mergeCell ref="H5:K5"/>
    <mergeCell ref="L5:O5"/>
    <mergeCell ref="A5:A6"/>
    <mergeCell ref="B5:B6"/>
    <mergeCell ref="C5:C6"/>
    <mergeCell ref="D5:F5"/>
    <mergeCell ref="G5:G6"/>
  </mergeCells>
  <pageMargins left="0.70866141732283472" right="0.70866141732283472" top="0.74803149606299213" bottom="0.74803149606299213" header="0.31496062992125984" footer="0.31496062992125984"/>
  <pageSetup paperSize="9" scale="67" fitToWidth="2" fitToHeight="2" orientation="landscape" r:id="rId1"/>
  <rowBreaks count="1" manualBreakCount="1">
    <brk id="25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A64"/>
  <sheetViews>
    <sheetView view="pageBreakPreview" zoomScale="80" zoomScaleNormal="90" zoomScaleSheetLayoutView="80" workbookViewId="0">
      <selection activeCell="A8" sqref="A8:O8"/>
    </sheetView>
  </sheetViews>
  <sheetFormatPr defaultRowHeight="14.4" x14ac:dyDescent="0.3"/>
  <cols>
    <col min="1" max="1" width="13.109375" customWidth="1"/>
    <col min="2" max="2" width="31.109375" style="8" customWidth="1"/>
    <col min="7" max="7" width="13.109375" customWidth="1"/>
    <col min="8" max="8" width="10.88671875" customWidth="1"/>
    <col min="9" max="9" width="11.109375" customWidth="1"/>
    <col min="11" max="11" width="10.6640625" customWidth="1"/>
    <col min="13" max="13" width="9.5546875" bestFit="1" customWidth="1"/>
    <col min="17" max="27" width="9.109375" style="14"/>
  </cols>
  <sheetData>
    <row r="1" spans="1:27" ht="15.6" x14ac:dyDescent="0.3">
      <c r="A1" s="9" t="s">
        <v>30</v>
      </c>
      <c r="B1" s="8" t="s">
        <v>31</v>
      </c>
    </row>
    <row r="2" spans="1:27" ht="15.6" x14ac:dyDescent="0.3">
      <c r="A2" s="9" t="s">
        <v>32</v>
      </c>
      <c r="B2" s="8" t="s">
        <v>54</v>
      </c>
    </row>
    <row r="3" spans="1:27" ht="15.6" x14ac:dyDescent="0.3">
      <c r="A3" s="9" t="s">
        <v>34</v>
      </c>
      <c r="B3" s="8" t="s">
        <v>35</v>
      </c>
    </row>
    <row r="4" spans="1:27" ht="31.2" x14ac:dyDescent="0.3">
      <c r="A4" s="9" t="s">
        <v>36</v>
      </c>
      <c r="B4" s="8" t="s">
        <v>37</v>
      </c>
    </row>
    <row r="5" spans="1:27" ht="15.6" x14ac:dyDescent="0.3">
      <c r="A5" s="253" t="s">
        <v>25</v>
      </c>
      <c r="B5" s="253" t="s">
        <v>20</v>
      </c>
      <c r="C5" s="253" t="s">
        <v>23</v>
      </c>
      <c r="D5" s="250" t="s">
        <v>28</v>
      </c>
      <c r="E5" s="251"/>
      <c r="F5" s="252"/>
      <c r="G5" s="253" t="s">
        <v>0</v>
      </c>
      <c r="H5" s="250" t="s">
        <v>27</v>
      </c>
      <c r="I5" s="251"/>
      <c r="J5" s="251"/>
      <c r="K5" s="252"/>
      <c r="L5" s="250" t="s">
        <v>26</v>
      </c>
      <c r="M5" s="251"/>
      <c r="N5" s="251"/>
      <c r="O5" s="252"/>
      <c r="Q5"/>
      <c r="R5"/>
      <c r="S5"/>
      <c r="T5"/>
      <c r="U5"/>
      <c r="V5"/>
      <c r="W5"/>
      <c r="X5"/>
      <c r="Y5"/>
      <c r="Z5"/>
      <c r="AA5"/>
    </row>
    <row r="6" spans="1:27" ht="15.6" x14ac:dyDescent="0.3">
      <c r="A6" s="254"/>
      <c r="B6" s="255"/>
      <c r="C6" s="256"/>
      <c r="D6" s="5" t="s">
        <v>1</v>
      </c>
      <c r="E6" s="5" t="s">
        <v>2</v>
      </c>
      <c r="F6" s="5" t="s">
        <v>3</v>
      </c>
      <c r="G6" s="254"/>
      <c r="H6" s="5" t="s">
        <v>19</v>
      </c>
      <c r="I6" s="5" t="s">
        <v>4</v>
      </c>
      <c r="J6" s="5" t="s">
        <v>5</v>
      </c>
      <c r="K6" s="5" t="s">
        <v>6</v>
      </c>
      <c r="L6" s="5" t="s">
        <v>7</v>
      </c>
      <c r="M6" s="5" t="s">
        <v>122</v>
      </c>
      <c r="N6" s="5" t="s">
        <v>9</v>
      </c>
      <c r="O6" s="5" t="s">
        <v>10</v>
      </c>
      <c r="Q6"/>
      <c r="R6"/>
      <c r="S6"/>
      <c r="T6"/>
      <c r="U6"/>
      <c r="V6"/>
      <c r="W6"/>
      <c r="X6"/>
      <c r="Y6"/>
      <c r="Z6"/>
      <c r="AA6"/>
    </row>
    <row r="7" spans="1:27" s="10" customFormat="1" ht="18" x14ac:dyDescent="0.3">
      <c r="A7" s="243" t="s">
        <v>22</v>
      </c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5"/>
    </row>
    <row r="8" spans="1:27" s="10" customFormat="1" ht="27.6" x14ac:dyDescent="0.3">
      <c r="A8" s="135">
        <v>65</v>
      </c>
      <c r="B8" s="6" t="s">
        <v>108</v>
      </c>
      <c r="C8" s="135">
        <v>250</v>
      </c>
      <c r="D8" s="12">
        <v>7.3</v>
      </c>
      <c r="E8" s="12">
        <v>4.4000000000000004</v>
      </c>
      <c r="F8" s="12">
        <v>30.8</v>
      </c>
      <c r="G8" s="12">
        <v>204</v>
      </c>
      <c r="H8" s="12">
        <v>0.2</v>
      </c>
      <c r="I8" s="12">
        <v>4.66</v>
      </c>
      <c r="J8" s="12">
        <v>0.08</v>
      </c>
      <c r="K8" s="12">
        <v>0</v>
      </c>
      <c r="L8" s="12">
        <v>38.299999999999997</v>
      </c>
      <c r="M8" s="12">
        <v>0</v>
      </c>
      <c r="N8" s="12">
        <v>42.23</v>
      </c>
      <c r="O8" s="12">
        <v>2.23</v>
      </c>
    </row>
    <row r="9" spans="1:27" s="10" customFormat="1" x14ac:dyDescent="0.3">
      <c r="A9" s="135">
        <v>10</v>
      </c>
      <c r="B9" s="6" t="s">
        <v>12</v>
      </c>
      <c r="C9" s="135">
        <v>180</v>
      </c>
      <c r="D9" s="12">
        <v>38.42</v>
      </c>
      <c r="E9" s="12">
        <v>5.49</v>
      </c>
      <c r="F9" s="12">
        <v>207.62</v>
      </c>
      <c r="G9" s="12">
        <v>1034</v>
      </c>
      <c r="H9" s="12">
        <v>0.56000000000000005</v>
      </c>
      <c r="I9" s="12"/>
      <c r="J9" s="12">
        <v>0.2</v>
      </c>
      <c r="K9" s="12">
        <v>0</v>
      </c>
      <c r="L9" s="12">
        <v>49.9</v>
      </c>
      <c r="M9" s="12">
        <v>0</v>
      </c>
      <c r="N9" s="12">
        <v>0</v>
      </c>
      <c r="O9" s="12">
        <v>8.14</v>
      </c>
    </row>
    <row r="10" spans="1:27" s="10" customFormat="1" x14ac:dyDescent="0.3">
      <c r="A10" s="135">
        <v>109</v>
      </c>
      <c r="B10" s="6" t="s">
        <v>126</v>
      </c>
      <c r="C10" s="135" t="s">
        <v>127</v>
      </c>
      <c r="D10" s="12">
        <v>13</v>
      </c>
      <c r="E10" s="12">
        <v>10.199999999999999</v>
      </c>
      <c r="F10" s="12">
        <v>8</v>
      </c>
      <c r="G10" s="12">
        <v>178</v>
      </c>
      <c r="H10" s="12">
        <v>0.03</v>
      </c>
      <c r="I10" s="12">
        <v>0.31</v>
      </c>
      <c r="J10" s="12">
        <v>0</v>
      </c>
      <c r="K10" s="12">
        <v>0</v>
      </c>
      <c r="L10" s="12">
        <v>31.02</v>
      </c>
      <c r="M10" s="12">
        <v>0.08</v>
      </c>
      <c r="N10" s="12">
        <v>18.399999999999999</v>
      </c>
      <c r="O10" s="12">
        <v>0.8</v>
      </c>
    </row>
    <row r="11" spans="1:27" s="7" customFormat="1" ht="23.25" customHeight="1" x14ac:dyDescent="0.3">
      <c r="A11" s="135">
        <v>300</v>
      </c>
      <c r="B11" s="6" t="s">
        <v>123</v>
      </c>
      <c r="C11" s="91">
        <v>200</v>
      </c>
      <c r="D11" s="92">
        <v>0.2</v>
      </c>
      <c r="E11" s="91">
        <v>0</v>
      </c>
      <c r="F11" s="92">
        <v>9.1</v>
      </c>
      <c r="G11" s="91">
        <v>36</v>
      </c>
      <c r="H11" s="92">
        <v>0</v>
      </c>
      <c r="I11" s="91">
        <v>0</v>
      </c>
      <c r="J11" s="92">
        <v>0</v>
      </c>
      <c r="K11" s="91">
        <v>0</v>
      </c>
      <c r="L11" s="92">
        <v>0.26</v>
      </c>
      <c r="M11" s="91">
        <v>0</v>
      </c>
      <c r="N11" s="92">
        <v>0</v>
      </c>
      <c r="O11" s="93">
        <v>0.03</v>
      </c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7" s="136" customFormat="1" x14ac:dyDescent="0.3">
      <c r="A12" s="150">
        <v>1.5</v>
      </c>
      <c r="B12" s="6" t="s">
        <v>14</v>
      </c>
      <c r="C12" s="135">
        <v>50</v>
      </c>
      <c r="D12" s="12">
        <v>2.2400000000000002</v>
      </c>
      <c r="E12" s="12">
        <v>0.88</v>
      </c>
      <c r="F12" s="12">
        <v>19.760000000000002</v>
      </c>
      <c r="G12" s="12">
        <v>91.96</v>
      </c>
      <c r="H12" s="12">
        <v>0.04</v>
      </c>
      <c r="I12" s="12"/>
      <c r="J12" s="12"/>
      <c r="K12" s="12">
        <v>0.36</v>
      </c>
      <c r="L12" s="12">
        <v>9.1999999999999993</v>
      </c>
      <c r="M12" s="12">
        <v>42.4</v>
      </c>
      <c r="N12" s="12">
        <v>10</v>
      </c>
      <c r="O12" s="12">
        <v>1.24</v>
      </c>
    </row>
    <row r="13" spans="1:27" s="136" customFormat="1" x14ac:dyDescent="0.3">
      <c r="A13" s="135">
        <v>1.6</v>
      </c>
      <c r="B13" s="6" t="s">
        <v>60</v>
      </c>
      <c r="C13" s="135">
        <v>50</v>
      </c>
      <c r="D13" s="12">
        <v>3.16</v>
      </c>
      <c r="E13" s="12">
        <v>0.4</v>
      </c>
      <c r="F13" s="12">
        <v>19.32</v>
      </c>
      <c r="G13" s="12">
        <v>93.52</v>
      </c>
      <c r="H13" s="12">
        <v>0.04</v>
      </c>
      <c r="I13" s="12"/>
      <c r="J13" s="12"/>
      <c r="K13" s="12">
        <v>0.52</v>
      </c>
      <c r="L13" s="12">
        <v>9.1999999999999993</v>
      </c>
      <c r="M13" s="12">
        <v>34.799999999999997</v>
      </c>
      <c r="N13" s="12">
        <v>13.2</v>
      </c>
      <c r="O13" s="12">
        <v>0.44</v>
      </c>
    </row>
    <row r="14" spans="1:27" s="24" customFormat="1" ht="16.2" customHeight="1" x14ac:dyDescent="0.3">
      <c r="A14" s="94" t="s">
        <v>11</v>
      </c>
      <c r="B14" s="95"/>
      <c r="C14" s="95"/>
      <c r="D14" s="108">
        <f>SUM(D8:D13)</f>
        <v>64.320000000000007</v>
      </c>
      <c r="E14" s="108">
        <f>SUM(E8:E13)</f>
        <v>21.369999999999997</v>
      </c>
      <c r="F14" s="108">
        <f>SUM(F8:F13)</f>
        <v>294.60000000000002</v>
      </c>
      <c r="G14" s="108">
        <f>SUM(G8:G13)</f>
        <v>1637.48</v>
      </c>
      <c r="H14" s="108"/>
      <c r="I14" s="108"/>
      <c r="J14" s="108"/>
      <c r="K14" s="108"/>
      <c r="L14" s="108"/>
      <c r="M14" s="108"/>
      <c r="N14" s="108"/>
      <c r="O14" s="108"/>
      <c r="Q14" s="51"/>
      <c r="R14" s="51"/>
      <c r="S14" s="54"/>
      <c r="T14" s="89"/>
      <c r="U14" s="89"/>
      <c r="V14" s="89"/>
      <c r="W14" s="89"/>
      <c r="X14" s="89"/>
      <c r="Y14" s="89"/>
      <c r="Z14" s="89"/>
      <c r="AA14" s="89"/>
    </row>
    <row r="15" spans="1:27" s="7" customFormat="1" ht="15.75" customHeight="1" x14ac:dyDescent="0.3">
      <c r="A15" s="259" t="s">
        <v>21</v>
      </c>
      <c r="B15" s="257"/>
      <c r="C15" s="257"/>
      <c r="D15" s="257"/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8"/>
      <c r="Q15" s="15"/>
      <c r="R15" s="15"/>
      <c r="S15" s="17"/>
      <c r="T15" s="18"/>
      <c r="U15" s="18"/>
      <c r="V15" s="18"/>
      <c r="W15" s="18"/>
      <c r="X15" s="18"/>
      <c r="Y15" s="18"/>
      <c r="Z15" s="18"/>
      <c r="AA15" s="18"/>
    </row>
    <row r="16" spans="1:27" s="41" customFormat="1" ht="13.8" x14ac:dyDescent="0.3">
      <c r="A16" s="40"/>
      <c r="B16" s="30" t="s">
        <v>96</v>
      </c>
      <c r="C16" s="40" t="s">
        <v>103</v>
      </c>
      <c r="D16" s="121">
        <v>2.5</v>
      </c>
      <c r="E16" s="120">
        <v>0.1</v>
      </c>
      <c r="F16" s="121">
        <v>16</v>
      </c>
      <c r="G16" s="121">
        <v>317</v>
      </c>
      <c r="H16" s="121"/>
      <c r="I16" s="121"/>
      <c r="J16" s="121"/>
      <c r="K16" s="121"/>
      <c r="L16" s="121"/>
      <c r="M16" s="121"/>
      <c r="N16" s="121"/>
      <c r="O16" s="121"/>
    </row>
    <row r="17" spans="1:27" s="15" customFormat="1" ht="13.8" x14ac:dyDescent="0.3">
      <c r="A17" s="94" t="s">
        <v>11</v>
      </c>
      <c r="B17" s="95"/>
      <c r="C17" s="95"/>
      <c r="D17" s="108">
        <f>SUM(D16:D16)</f>
        <v>2.5</v>
      </c>
      <c r="E17" s="108">
        <f>SUM(E16:E16)</f>
        <v>0.1</v>
      </c>
      <c r="F17" s="108">
        <f>SUM(F16:F16)</f>
        <v>16</v>
      </c>
      <c r="G17" s="108">
        <f>SUM(G16:G16)</f>
        <v>317</v>
      </c>
      <c r="H17" s="108"/>
      <c r="I17" s="108"/>
      <c r="J17" s="108"/>
      <c r="K17" s="108"/>
      <c r="L17" s="108"/>
      <c r="M17" s="108"/>
      <c r="N17" s="108"/>
      <c r="O17" s="108"/>
      <c r="Q17" s="16"/>
      <c r="R17" s="16"/>
      <c r="S17" s="16"/>
      <c r="T17" s="13"/>
      <c r="U17" s="13"/>
      <c r="V17" s="13"/>
      <c r="W17" s="13"/>
      <c r="X17" s="13"/>
      <c r="Y17" s="13"/>
      <c r="Z17" s="13"/>
      <c r="AA17" s="13"/>
    </row>
    <row r="18" spans="1:27" x14ac:dyDescent="0.3">
      <c r="A18" s="113" t="s">
        <v>15</v>
      </c>
      <c r="B18" s="114"/>
      <c r="C18" s="114"/>
      <c r="D18" s="97">
        <f>SUM(D14,D17)</f>
        <v>66.820000000000007</v>
      </c>
      <c r="E18" s="97">
        <f>SUM(E14,E17)</f>
        <v>21.47</v>
      </c>
      <c r="F18" s="97">
        <f>SUM(F14,F17)</f>
        <v>310.60000000000002</v>
      </c>
      <c r="G18" s="97">
        <f>SUM(G14,G17)</f>
        <v>1954.48</v>
      </c>
      <c r="H18" s="108"/>
      <c r="I18" s="108"/>
      <c r="J18" s="108"/>
      <c r="K18" s="108"/>
      <c r="L18" s="108"/>
      <c r="M18" s="108"/>
      <c r="N18" s="108"/>
      <c r="O18" s="108"/>
    </row>
    <row r="19" spans="1:27" ht="15" thickBot="1" x14ac:dyDescent="0.35"/>
    <row r="20" spans="1:27" ht="27" thickBot="1" x14ac:dyDescent="0.35">
      <c r="A20" s="31"/>
      <c r="B20" s="188" t="s">
        <v>44</v>
      </c>
      <c r="C20" s="189"/>
      <c r="D20" s="189"/>
      <c r="E20" s="189"/>
      <c r="F20" s="192" t="s">
        <v>45</v>
      </c>
      <c r="G20" s="193"/>
      <c r="H20" s="194"/>
      <c r="I20" s="33" t="s">
        <v>46</v>
      </c>
      <c r="J20" s="32"/>
      <c r="K20" s="32"/>
      <c r="L20" s="32"/>
      <c r="M20" s="32"/>
      <c r="N20" s="32"/>
      <c r="O20" s="32"/>
    </row>
    <row r="21" spans="1:27" ht="43.5" customHeight="1" thickBot="1" x14ac:dyDescent="0.35">
      <c r="A21" s="31"/>
      <c r="B21" s="190"/>
      <c r="C21" s="191"/>
      <c r="D21" s="191"/>
      <c r="E21" s="191"/>
      <c r="F21" s="34" t="s">
        <v>1</v>
      </c>
      <c r="G21" s="34" t="s">
        <v>2</v>
      </c>
      <c r="H21" s="34" t="s">
        <v>3</v>
      </c>
      <c r="I21" s="35"/>
      <c r="J21" s="32"/>
      <c r="K21" s="32"/>
      <c r="L21" s="32"/>
      <c r="M21" s="32"/>
      <c r="N21" s="32"/>
      <c r="O21" s="32"/>
    </row>
    <row r="22" spans="1:27" ht="21.75" customHeight="1" thickBot="1" x14ac:dyDescent="0.35">
      <c r="B22" s="165" t="s">
        <v>48</v>
      </c>
      <c r="C22" s="166"/>
      <c r="D22" s="166"/>
      <c r="E22" s="166"/>
      <c r="F22" s="34" t="s">
        <v>49</v>
      </c>
      <c r="G22" s="34" t="s">
        <v>50</v>
      </c>
      <c r="H22" s="34" t="s">
        <v>51</v>
      </c>
      <c r="I22" s="34" t="s">
        <v>104</v>
      </c>
    </row>
    <row r="23" spans="1:27" ht="15" thickBot="1" x14ac:dyDescent="0.35">
      <c r="B23" s="165" t="s">
        <v>47</v>
      </c>
      <c r="C23" s="166"/>
      <c r="D23" s="166"/>
      <c r="E23" s="166"/>
      <c r="F23" s="36">
        <f>D18</f>
        <v>66.820000000000007</v>
      </c>
      <c r="G23" s="36">
        <f>E18</f>
        <v>21.47</v>
      </c>
      <c r="H23" s="36">
        <f>F18</f>
        <v>310.60000000000002</v>
      </c>
      <c r="I23" s="36">
        <f>G18</f>
        <v>1954.48</v>
      </c>
    </row>
    <row r="25" spans="1:27" ht="25.5" customHeight="1" x14ac:dyDescent="0.3">
      <c r="B25" s="185" t="s">
        <v>93</v>
      </c>
      <c r="C25" s="185"/>
      <c r="D25" s="185"/>
      <c r="E25" s="185"/>
      <c r="F25" s="185"/>
      <c r="G25" s="185"/>
      <c r="H25" s="185"/>
    </row>
    <row r="26" spans="1:27" ht="28.8" x14ac:dyDescent="0.3">
      <c r="B26" s="73" t="s">
        <v>55</v>
      </c>
      <c r="C26" s="180" t="s">
        <v>56</v>
      </c>
      <c r="D26" s="180"/>
      <c r="E26" s="180"/>
      <c r="F26" s="180"/>
      <c r="G26" s="186" t="s">
        <v>94</v>
      </c>
      <c r="H26" s="187"/>
      <c r="J26" s="9" t="s">
        <v>30</v>
      </c>
      <c r="K26" s="119" t="s">
        <v>31</v>
      </c>
    </row>
    <row r="27" spans="1:27" ht="31.2" x14ac:dyDescent="0.3">
      <c r="B27" s="183"/>
      <c r="C27" s="181" t="s">
        <v>57</v>
      </c>
      <c r="D27" s="182"/>
      <c r="E27" s="181" t="s">
        <v>58</v>
      </c>
      <c r="F27" s="182"/>
      <c r="G27" s="73" t="s">
        <v>57</v>
      </c>
      <c r="H27" s="73" t="s">
        <v>58</v>
      </c>
      <c r="J27" s="9" t="s">
        <v>32</v>
      </c>
      <c r="K27" s="8" t="s">
        <v>54</v>
      </c>
    </row>
    <row r="28" spans="1:27" ht="28.8" x14ac:dyDescent="0.3">
      <c r="B28" s="184"/>
      <c r="C28" s="181" t="s">
        <v>37</v>
      </c>
      <c r="D28" s="182"/>
      <c r="E28" s="181" t="s">
        <v>37</v>
      </c>
      <c r="F28" s="182"/>
      <c r="G28" s="73" t="s">
        <v>37</v>
      </c>
      <c r="H28" s="73" t="s">
        <v>37</v>
      </c>
      <c r="J28" s="9" t="s">
        <v>34</v>
      </c>
      <c r="K28" s="8" t="s">
        <v>35</v>
      </c>
    </row>
    <row r="29" spans="1:27" ht="37.799999999999997" customHeight="1" x14ac:dyDescent="0.3">
      <c r="B29" s="74" t="s">
        <v>59</v>
      </c>
      <c r="C29" s="172">
        <v>80</v>
      </c>
      <c r="D29" s="173"/>
      <c r="E29" s="172">
        <v>80</v>
      </c>
      <c r="F29" s="173"/>
      <c r="G29" s="75">
        <v>40</v>
      </c>
      <c r="H29" s="75">
        <v>40</v>
      </c>
      <c r="J29" s="9" t="s">
        <v>36</v>
      </c>
      <c r="K29" s="8" t="s">
        <v>37</v>
      </c>
    </row>
    <row r="30" spans="1:27" x14ac:dyDescent="0.3">
      <c r="B30" s="74" t="s">
        <v>60</v>
      </c>
      <c r="C30" s="172">
        <v>150</v>
      </c>
      <c r="D30" s="173"/>
      <c r="E30" s="172">
        <v>150</v>
      </c>
      <c r="F30" s="173"/>
      <c r="G30" s="75">
        <f>50+40</f>
        <v>90</v>
      </c>
      <c r="H30" s="75">
        <v>90</v>
      </c>
    </row>
    <row r="31" spans="1:27" x14ac:dyDescent="0.3">
      <c r="B31" s="74" t="s">
        <v>61</v>
      </c>
      <c r="C31" s="172">
        <v>15</v>
      </c>
      <c r="D31" s="173"/>
      <c r="E31" s="172">
        <v>15</v>
      </c>
      <c r="F31" s="173"/>
      <c r="G31" s="75">
        <f>35+0.71</f>
        <v>35.71</v>
      </c>
      <c r="H31" s="75">
        <v>35.71</v>
      </c>
    </row>
    <row r="32" spans="1:27" x14ac:dyDescent="0.3">
      <c r="B32" s="76" t="s">
        <v>62</v>
      </c>
      <c r="C32" s="174">
        <v>45</v>
      </c>
      <c r="D32" s="175"/>
      <c r="E32" s="174">
        <v>45</v>
      </c>
      <c r="F32" s="175"/>
      <c r="G32" s="77">
        <f>54</f>
        <v>54</v>
      </c>
      <c r="H32" s="77">
        <f>54</f>
        <v>54</v>
      </c>
    </row>
    <row r="33" spans="2:8" x14ac:dyDescent="0.3">
      <c r="B33" s="74" t="s">
        <v>63</v>
      </c>
      <c r="C33" s="172">
        <v>15</v>
      </c>
      <c r="D33" s="173"/>
      <c r="E33" s="172">
        <v>15</v>
      </c>
      <c r="F33" s="173"/>
      <c r="G33" s="75">
        <v>10</v>
      </c>
      <c r="H33" s="75">
        <v>10</v>
      </c>
    </row>
    <row r="34" spans="2:8" x14ac:dyDescent="0.3">
      <c r="B34" s="74" t="s">
        <v>64</v>
      </c>
      <c r="C34" s="172" t="s">
        <v>65</v>
      </c>
      <c r="D34" s="173"/>
      <c r="E34" s="195">
        <v>188</v>
      </c>
      <c r="F34" s="196"/>
      <c r="G34" s="75">
        <f>53.4+28.9</f>
        <v>82.3</v>
      </c>
      <c r="H34" s="75">
        <v>82.3</v>
      </c>
    </row>
    <row r="35" spans="2:8" x14ac:dyDescent="0.3">
      <c r="B35" s="74" t="s">
        <v>66</v>
      </c>
      <c r="C35" s="172">
        <v>350</v>
      </c>
      <c r="D35" s="173"/>
      <c r="E35" s="172" t="s">
        <v>67</v>
      </c>
      <c r="F35" s="173"/>
      <c r="G35" s="75">
        <f>10+9.6+2+6+6+19.1+12.6+18.8+21.4+18.8</f>
        <v>124.3</v>
      </c>
      <c r="H35" s="90">
        <f>40+21+8+2+8+15+10+5+5+5</f>
        <v>119</v>
      </c>
    </row>
    <row r="36" spans="2:8" x14ac:dyDescent="0.3">
      <c r="B36" s="74" t="s">
        <v>68</v>
      </c>
      <c r="C36" s="172">
        <v>200</v>
      </c>
      <c r="D36" s="173"/>
      <c r="E36" s="172" t="s">
        <v>69</v>
      </c>
      <c r="F36" s="173"/>
      <c r="G36" s="75">
        <f>100+45.4</f>
        <v>145.4</v>
      </c>
      <c r="H36" s="75">
        <v>145.4</v>
      </c>
    </row>
    <row r="37" spans="2:8" ht="26.4" x14ac:dyDescent="0.3">
      <c r="B37" s="74" t="s">
        <v>70</v>
      </c>
      <c r="C37" s="172">
        <v>15</v>
      </c>
      <c r="D37" s="173"/>
      <c r="E37" s="172">
        <v>15</v>
      </c>
      <c r="F37" s="173"/>
      <c r="G37" s="75"/>
      <c r="H37" s="75"/>
    </row>
    <row r="38" spans="2:8" ht="39.6" x14ac:dyDescent="0.3">
      <c r="B38" s="74" t="s">
        <v>71</v>
      </c>
      <c r="C38" s="172">
        <v>200</v>
      </c>
      <c r="D38" s="173"/>
      <c r="E38" s="172">
        <v>200</v>
      </c>
      <c r="F38" s="173"/>
      <c r="G38" s="75"/>
      <c r="H38" s="75"/>
    </row>
    <row r="39" spans="2:8" ht="26.4" x14ac:dyDescent="0.3">
      <c r="B39" s="74" t="s">
        <v>72</v>
      </c>
      <c r="C39" s="172" t="s">
        <v>73</v>
      </c>
      <c r="D39" s="173"/>
      <c r="E39" s="172">
        <v>70</v>
      </c>
      <c r="F39" s="173"/>
      <c r="G39" s="75"/>
      <c r="H39" s="75"/>
    </row>
    <row r="40" spans="2:8" ht="26.4" x14ac:dyDescent="0.3">
      <c r="B40" s="74" t="s">
        <v>74</v>
      </c>
      <c r="C40" s="172" t="s">
        <v>75</v>
      </c>
      <c r="D40" s="173"/>
      <c r="E40" s="172">
        <v>35</v>
      </c>
      <c r="F40" s="173"/>
      <c r="G40" s="75">
        <v>40</v>
      </c>
      <c r="H40" s="75">
        <v>25</v>
      </c>
    </row>
    <row r="41" spans="2:8" x14ac:dyDescent="0.3">
      <c r="B41" s="74" t="s">
        <v>76</v>
      </c>
      <c r="C41" s="172">
        <v>60</v>
      </c>
      <c r="D41" s="173"/>
      <c r="E41" s="172">
        <v>58</v>
      </c>
      <c r="F41" s="173"/>
      <c r="G41" s="75">
        <v>246</v>
      </c>
      <c r="H41" s="75">
        <v>124</v>
      </c>
    </row>
    <row r="42" spans="2:8" x14ac:dyDescent="0.3">
      <c r="B42" s="74" t="s">
        <v>77</v>
      </c>
      <c r="C42" s="172">
        <v>15</v>
      </c>
      <c r="D42" s="173"/>
      <c r="E42" s="172">
        <v>14.7</v>
      </c>
      <c r="F42" s="173"/>
      <c r="G42" s="75"/>
      <c r="H42" s="75"/>
    </row>
    <row r="43" spans="2:8" ht="26.4" x14ac:dyDescent="0.3">
      <c r="B43" s="74" t="s">
        <v>78</v>
      </c>
      <c r="C43" s="172">
        <v>300</v>
      </c>
      <c r="D43" s="173"/>
      <c r="E43" s="172">
        <v>300</v>
      </c>
      <c r="F43" s="173"/>
      <c r="G43" s="75">
        <v>150</v>
      </c>
      <c r="H43" s="75"/>
    </row>
    <row r="44" spans="2:8" ht="26.4" x14ac:dyDescent="0.3">
      <c r="B44" s="74" t="s">
        <v>79</v>
      </c>
      <c r="C44" s="172">
        <v>150</v>
      </c>
      <c r="D44" s="173"/>
      <c r="E44" s="172">
        <v>150</v>
      </c>
      <c r="F44" s="173"/>
      <c r="G44" s="75">
        <v>206</v>
      </c>
      <c r="H44" s="75">
        <v>200</v>
      </c>
    </row>
    <row r="45" spans="2:8" ht="26.4" x14ac:dyDescent="0.3">
      <c r="B45" s="74" t="s">
        <v>80</v>
      </c>
      <c r="C45" s="172">
        <v>50</v>
      </c>
      <c r="D45" s="173"/>
      <c r="E45" s="172">
        <v>50</v>
      </c>
      <c r="F45" s="173"/>
      <c r="G45" s="75"/>
      <c r="H45" s="75"/>
    </row>
    <row r="46" spans="2:8" x14ac:dyDescent="0.3">
      <c r="B46" s="74" t="s">
        <v>81</v>
      </c>
      <c r="C46" s="172">
        <v>10</v>
      </c>
      <c r="D46" s="173"/>
      <c r="E46" s="172">
        <v>9.8000000000000007</v>
      </c>
      <c r="F46" s="173"/>
      <c r="G46" s="75"/>
      <c r="H46" s="90"/>
    </row>
    <row r="47" spans="2:8" ht="26.4" x14ac:dyDescent="0.3">
      <c r="B47" s="74" t="s">
        <v>82</v>
      </c>
      <c r="C47" s="172">
        <v>10</v>
      </c>
      <c r="D47" s="173"/>
      <c r="E47" s="172">
        <v>10</v>
      </c>
      <c r="F47" s="173"/>
      <c r="G47" s="80"/>
      <c r="H47" s="80"/>
    </row>
    <row r="48" spans="2:8" x14ac:dyDescent="0.3">
      <c r="B48" s="74" t="s">
        <v>83</v>
      </c>
      <c r="C48" s="172">
        <v>30</v>
      </c>
      <c r="D48" s="173"/>
      <c r="E48" s="172">
        <v>30</v>
      </c>
      <c r="F48" s="173"/>
      <c r="G48" s="75">
        <f>10+6.75+4+10+10</f>
        <v>40.75</v>
      </c>
      <c r="H48" s="75">
        <v>40.75</v>
      </c>
    </row>
    <row r="49" spans="2:8" x14ac:dyDescent="0.3">
      <c r="B49" s="74" t="s">
        <v>84</v>
      </c>
      <c r="C49" s="172">
        <v>15</v>
      </c>
      <c r="D49" s="173"/>
      <c r="E49" s="172">
        <v>15</v>
      </c>
      <c r="F49" s="173"/>
      <c r="G49" s="75">
        <f>2+0.32+10</f>
        <v>12.32</v>
      </c>
      <c r="H49" s="75">
        <v>12.32</v>
      </c>
    </row>
    <row r="50" spans="2:8" x14ac:dyDescent="0.3">
      <c r="B50" s="74" t="s">
        <v>85</v>
      </c>
      <c r="C50" s="172" t="s">
        <v>86</v>
      </c>
      <c r="D50" s="173"/>
      <c r="E50" s="172">
        <v>40</v>
      </c>
      <c r="F50" s="173"/>
      <c r="G50" s="90">
        <v>80.099999999999994</v>
      </c>
      <c r="H50" s="75">
        <v>80.099999999999994</v>
      </c>
    </row>
    <row r="51" spans="2:8" x14ac:dyDescent="0.3">
      <c r="B51" s="74" t="s">
        <v>87</v>
      </c>
      <c r="C51" s="172">
        <v>40</v>
      </c>
      <c r="D51" s="173"/>
      <c r="E51" s="195">
        <v>40</v>
      </c>
      <c r="F51" s="196"/>
      <c r="G51" s="75">
        <f>20+24+0.35</f>
        <v>44.35</v>
      </c>
      <c r="H51" s="75">
        <v>44.35</v>
      </c>
    </row>
    <row r="52" spans="2:8" x14ac:dyDescent="0.3">
      <c r="B52" s="74" t="s">
        <v>88</v>
      </c>
      <c r="C52" s="195">
        <v>10</v>
      </c>
      <c r="D52" s="196"/>
      <c r="E52" s="172">
        <v>10</v>
      </c>
      <c r="F52" s="173"/>
      <c r="G52" s="75"/>
      <c r="H52" s="75"/>
    </row>
    <row r="53" spans="2:8" x14ac:dyDescent="0.3">
      <c r="B53" s="74" t="s">
        <v>89</v>
      </c>
      <c r="C53" s="172">
        <v>0.4</v>
      </c>
      <c r="D53" s="173"/>
      <c r="E53" s="172">
        <v>0.4</v>
      </c>
      <c r="F53" s="173"/>
      <c r="G53" s="75"/>
      <c r="H53" s="75"/>
    </row>
    <row r="54" spans="2:8" x14ac:dyDescent="0.3">
      <c r="B54" s="74" t="s">
        <v>90</v>
      </c>
      <c r="C54" s="172">
        <v>1.2</v>
      </c>
      <c r="D54" s="173"/>
      <c r="E54" s="172">
        <v>1.2</v>
      </c>
      <c r="F54" s="173"/>
      <c r="G54" s="75"/>
      <c r="H54" s="75"/>
    </row>
    <row r="55" spans="2:8" x14ac:dyDescent="0.3">
      <c r="B55" s="74" t="s">
        <v>91</v>
      </c>
      <c r="C55" s="172">
        <v>1</v>
      </c>
      <c r="D55" s="173"/>
      <c r="E55" s="172">
        <v>1</v>
      </c>
      <c r="F55" s="173"/>
      <c r="G55" s="75">
        <v>0.1</v>
      </c>
      <c r="H55" s="75">
        <v>0.1</v>
      </c>
    </row>
    <row r="56" spans="2:8" x14ac:dyDescent="0.3">
      <c r="B56" s="74" t="s">
        <v>92</v>
      </c>
      <c r="C56" s="172">
        <v>5</v>
      </c>
      <c r="D56" s="173"/>
      <c r="E56" s="172">
        <v>5</v>
      </c>
      <c r="F56" s="173"/>
      <c r="G56" s="75">
        <v>3.03</v>
      </c>
      <c r="H56" s="75">
        <v>3.03</v>
      </c>
    </row>
    <row r="57" spans="2:8" x14ac:dyDescent="0.3">
      <c r="B57" s="88"/>
      <c r="C57" s="14"/>
      <c r="D57" s="14"/>
      <c r="E57" s="14"/>
      <c r="F57" s="14"/>
      <c r="G57" s="14"/>
      <c r="H57" s="14"/>
    </row>
    <row r="58" spans="2:8" x14ac:dyDescent="0.3">
      <c r="B58" s="88"/>
      <c r="C58" s="14"/>
      <c r="D58" s="14"/>
      <c r="E58" s="14"/>
      <c r="F58" s="14"/>
      <c r="G58" s="14"/>
      <c r="H58" s="14"/>
    </row>
    <row r="59" spans="2:8" x14ac:dyDescent="0.3">
      <c r="B59" s="88"/>
      <c r="C59" s="14"/>
      <c r="D59" s="14"/>
      <c r="E59" s="14"/>
      <c r="F59" s="14"/>
      <c r="G59" s="14"/>
      <c r="H59" s="14"/>
    </row>
    <row r="60" spans="2:8" x14ac:dyDescent="0.3">
      <c r="B60" s="88"/>
      <c r="C60" s="14"/>
      <c r="D60" s="14"/>
      <c r="E60" s="14"/>
      <c r="F60" s="14"/>
      <c r="G60" s="14"/>
      <c r="H60" s="14"/>
    </row>
    <row r="61" spans="2:8" x14ac:dyDescent="0.3">
      <c r="B61" s="88"/>
      <c r="C61" s="14"/>
      <c r="D61" s="14"/>
      <c r="E61" s="14"/>
      <c r="F61" s="14"/>
      <c r="G61" s="14"/>
      <c r="H61" s="14"/>
    </row>
    <row r="62" spans="2:8" x14ac:dyDescent="0.3">
      <c r="B62" s="88"/>
      <c r="C62" s="14"/>
      <c r="D62" s="14"/>
      <c r="E62" s="14"/>
      <c r="F62" s="14"/>
      <c r="G62" s="14"/>
      <c r="H62" s="14"/>
    </row>
    <row r="63" spans="2:8" x14ac:dyDescent="0.3">
      <c r="B63" s="88"/>
      <c r="C63" s="14"/>
      <c r="D63" s="14"/>
      <c r="E63" s="14"/>
      <c r="F63" s="14"/>
      <c r="G63" s="14"/>
      <c r="H63" s="14"/>
    </row>
    <row r="64" spans="2:8" x14ac:dyDescent="0.3">
      <c r="B64" s="88"/>
      <c r="C64" s="14"/>
      <c r="D64" s="14"/>
      <c r="E64" s="14"/>
      <c r="F64" s="14"/>
      <c r="G64" s="14"/>
      <c r="H64" s="14"/>
    </row>
  </sheetData>
  <sheetProtection formatCells="0" formatColumns="0" formatRows="0" insertColumns="0" insertRows="0" insertHyperlinks="0" deleteColumns="0" deleteRows="0" sort="0" autoFilter="0" pivotTables="0"/>
  <mergeCells count="77">
    <mergeCell ref="C33:D33"/>
    <mergeCell ref="C32:D32"/>
    <mergeCell ref="C31:D31"/>
    <mergeCell ref="C30:D30"/>
    <mergeCell ref="C29:D29"/>
    <mergeCell ref="C38:D38"/>
    <mergeCell ref="C37:D37"/>
    <mergeCell ref="C36:D36"/>
    <mergeCell ref="C35:D35"/>
    <mergeCell ref="C34:D34"/>
    <mergeCell ref="C43:D43"/>
    <mergeCell ref="C42:D42"/>
    <mergeCell ref="C41:D41"/>
    <mergeCell ref="C40:D40"/>
    <mergeCell ref="C39:D39"/>
    <mergeCell ref="C48:D48"/>
    <mergeCell ref="C47:D47"/>
    <mergeCell ref="C46:D46"/>
    <mergeCell ref="C45:D45"/>
    <mergeCell ref="C44:D44"/>
    <mergeCell ref="C53:D53"/>
    <mergeCell ref="C52:D52"/>
    <mergeCell ref="C51:D51"/>
    <mergeCell ref="C50:D50"/>
    <mergeCell ref="C49:D49"/>
    <mergeCell ref="E54:F54"/>
    <mergeCell ref="E55:F55"/>
    <mergeCell ref="E56:F56"/>
    <mergeCell ref="C56:D56"/>
    <mergeCell ref="C55:D55"/>
    <mergeCell ref="C54:D54"/>
    <mergeCell ref="E49:F49"/>
    <mergeCell ref="E50:F50"/>
    <mergeCell ref="E51:F51"/>
    <mergeCell ref="E52:F52"/>
    <mergeCell ref="E53:F53"/>
    <mergeCell ref="E44:F44"/>
    <mergeCell ref="E45:F45"/>
    <mergeCell ref="E46:F46"/>
    <mergeCell ref="E47:F47"/>
    <mergeCell ref="E48:F48"/>
    <mergeCell ref="E39:F39"/>
    <mergeCell ref="E40:F40"/>
    <mergeCell ref="E41:F41"/>
    <mergeCell ref="E42:F42"/>
    <mergeCell ref="E43:F43"/>
    <mergeCell ref="E34:F34"/>
    <mergeCell ref="E35:F35"/>
    <mergeCell ref="E36:F36"/>
    <mergeCell ref="E37:F37"/>
    <mergeCell ref="E38:F38"/>
    <mergeCell ref="E29:F29"/>
    <mergeCell ref="E30:F30"/>
    <mergeCell ref="E31:F31"/>
    <mergeCell ref="E32:F32"/>
    <mergeCell ref="E33:F33"/>
    <mergeCell ref="B25:H25"/>
    <mergeCell ref="C26:F26"/>
    <mergeCell ref="B27:B28"/>
    <mergeCell ref="C27:D27"/>
    <mergeCell ref="E27:F27"/>
    <mergeCell ref="G26:H26"/>
    <mergeCell ref="E28:F28"/>
    <mergeCell ref="C28:D28"/>
    <mergeCell ref="B20:E21"/>
    <mergeCell ref="F20:H20"/>
    <mergeCell ref="B22:E22"/>
    <mergeCell ref="B23:E23"/>
    <mergeCell ref="A7:O7"/>
    <mergeCell ref="A15:O15"/>
    <mergeCell ref="H5:K5"/>
    <mergeCell ref="L5:O5"/>
    <mergeCell ref="A5:A6"/>
    <mergeCell ref="B5:B6"/>
    <mergeCell ref="C5:C6"/>
    <mergeCell ref="D5:F5"/>
    <mergeCell ref="G5:G6"/>
  </mergeCells>
  <pageMargins left="0.70866141732283472" right="0.70866141732283472" top="0.74803149606299213" bottom="0.74803149606299213" header="0.31496062992125984" footer="0.31496062992125984"/>
  <pageSetup paperSize="9" scale="72" fitToWidth="2" fitToHeight="2" orientation="landscape" r:id="rId1"/>
  <rowBreaks count="1" manualBreakCount="1">
    <brk id="24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AA57"/>
  <sheetViews>
    <sheetView view="pageBreakPreview" zoomScale="70" zoomScaleNormal="90" zoomScaleSheetLayoutView="70" workbookViewId="0">
      <selection activeCell="A9" sqref="A9:O10"/>
    </sheetView>
  </sheetViews>
  <sheetFormatPr defaultRowHeight="14.4" x14ac:dyDescent="0.3"/>
  <cols>
    <col min="1" max="1" width="16" customWidth="1"/>
    <col min="2" max="2" width="25.33203125" customWidth="1"/>
    <col min="6" max="6" width="10" customWidth="1"/>
    <col min="7" max="7" width="12" customWidth="1"/>
    <col min="8" max="8" width="10.5546875" customWidth="1"/>
    <col min="9" max="9" width="11.88671875" customWidth="1"/>
    <col min="10" max="10" width="10.6640625" customWidth="1"/>
    <col min="13" max="13" width="9.5546875" bestFit="1" customWidth="1"/>
  </cols>
  <sheetData>
    <row r="1" spans="1:27" ht="15.6" x14ac:dyDescent="0.3">
      <c r="A1" s="9" t="s">
        <v>30</v>
      </c>
      <c r="B1" s="8" t="s">
        <v>38</v>
      </c>
    </row>
    <row r="2" spans="1:27" ht="15.6" x14ac:dyDescent="0.3">
      <c r="A2" s="9" t="s">
        <v>32</v>
      </c>
      <c r="B2" s="8" t="s">
        <v>54</v>
      </c>
    </row>
    <row r="3" spans="1:27" ht="15.6" x14ac:dyDescent="0.3">
      <c r="A3" s="9" t="s">
        <v>34</v>
      </c>
      <c r="B3" s="8" t="s">
        <v>35</v>
      </c>
    </row>
    <row r="4" spans="1:27" ht="31.2" x14ac:dyDescent="0.3">
      <c r="A4" s="9" t="s">
        <v>36</v>
      </c>
      <c r="B4" s="8" t="s">
        <v>37</v>
      </c>
    </row>
    <row r="5" spans="1:27" ht="15.6" x14ac:dyDescent="0.3">
      <c r="A5" s="253" t="s">
        <v>25</v>
      </c>
      <c r="B5" s="253" t="s">
        <v>20</v>
      </c>
      <c r="C5" s="253" t="s">
        <v>23</v>
      </c>
      <c r="D5" s="250" t="s">
        <v>28</v>
      </c>
      <c r="E5" s="251"/>
      <c r="F5" s="252"/>
      <c r="G5" s="253" t="s">
        <v>0</v>
      </c>
      <c r="H5" s="250" t="s">
        <v>27</v>
      </c>
      <c r="I5" s="251"/>
      <c r="J5" s="251"/>
      <c r="K5" s="252"/>
      <c r="L5" s="250" t="s">
        <v>26</v>
      </c>
      <c r="M5" s="251"/>
      <c r="N5" s="251"/>
      <c r="O5" s="252"/>
    </row>
    <row r="6" spans="1:27" ht="15.6" x14ac:dyDescent="0.3">
      <c r="A6" s="254"/>
      <c r="B6" s="255"/>
      <c r="C6" s="256"/>
      <c r="D6" s="5" t="s">
        <v>1</v>
      </c>
      <c r="E6" s="5" t="s">
        <v>2</v>
      </c>
      <c r="F6" s="5" t="s">
        <v>3</v>
      </c>
      <c r="G6" s="254"/>
      <c r="H6" s="5" t="s">
        <v>19</v>
      </c>
      <c r="I6" s="5" t="s">
        <v>4</v>
      </c>
      <c r="J6" s="5" t="s">
        <v>5</v>
      </c>
      <c r="K6" s="5" t="s">
        <v>6</v>
      </c>
      <c r="L6" s="5" t="s">
        <v>7</v>
      </c>
      <c r="M6" s="5" t="s">
        <v>122</v>
      </c>
      <c r="N6" s="5" t="s">
        <v>9</v>
      </c>
      <c r="O6" s="5" t="s">
        <v>10</v>
      </c>
    </row>
    <row r="7" spans="1:27" s="24" customFormat="1" ht="26.25" customHeight="1" x14ac:dyDescent="0.3">
      <c r="A7" s="244" t="s">
        <v>22</v>
      </c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5"/>
    </row>
    <row r="8" spans="1:27" s="24" customFormat="1" ht="45.75" customHeight="1" x14ac:dyDescent="0.3">
      <c r="A8" s="135">
        <v>132</v>
      </c>
      <c r="B8" s="6" t="s">
        <v>124</v>
      </c>
      <c r="C8" s="135">
        <v>250</v>
      </c>
      <c r="D8" s="12">
        <v>2.4</v>
      </c>
      <c r="E8" s="12">
        <v>5</v>
      </c>
      <c r="F8" s="12">
        <v>15.7</v>
      </c>
      <c r="G8" s="12">
        <v>123</v>
      </c>
      <c r="H8" s="12">
        <v>0.08</v>
      </c>
      <c r="I8" s="12">
        <v>6.71</v>
      </c>
      <c r="J8" s="12">
        <v>0.06</v>
      </c>
      <c r="K8" s="12">
        <v>0</v>
      </c>
      <c r="L8" s="12">
        <v>23.04</v>
      </c>
      <c r="M8" s="12">
        <v>0</v>
      </c>
      <c r="N8" s="12">
        <v>23.18</v>
      </c>
      <c r="O8" s="12">
        <v>0.86</v>
      </c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</row>
    <row r="9" spans="1:27" s="23" customFormat="1" ht="27.6" x14ac:dyDescent="0.3">
      <c r="A9" s="135">
        <v>136</v>
      </c>
      <c r="B9" s="6" t="s">
        <v>109</v>
      </c>
      <c r="C9" s="135">
        <v>100</v>
      </c>
      <c r="D9" s="12">
        <v>13.5</v>
      </c>
      <c r="E9" s="12">
        <v>19.3</v>
      </c>
      <c r="F9" s="12">
        <v>13.9</v>
      </c>
      <c r="G9" s="12">
        <v>286</v>
      </c>
      <c r="H9" s="12">
        <v>0.06</v>
      </c>
      <c r="I9" s="12">
        <v>0.35</v>
      </c>
      <c r="J9" s="12">
        <v>0.09</v>
      </c>
      <c r="K9" s="12">
        <v>0</v>
      </c>
      <c r="L9" s="12">
        <v>19.8</v>
      </c>
      <c r="M9" s="12">
        <v>0</v>
      </c>
      <c r="N9" s="12">
        <v>20.43</v>
      </c>
      <c r="O9" s="12">
        <v>1.61</v>
      </c>
    </row>
    <row r="10" spans="1:27" s="10" customFormat="1" x14ac:dyDescent="0.3">
      <c r="A10" s="135">
        <v>315</v>
      </c>
      <c r="B10" s="6" t="s">
        <v>97</v>
      </c>
      <c r="C10" s="135">
        <v>150</v>
      </c>
      <c r="D10" s="12">
        <v>20.65</v>
      </c>
      <c r="E10" s="12">
        <v>32.369999999999997</v>
      </c>
      <c r="F10" s="12">
        <v>94.28</v>
      </c>
      <c r="G10" s="12">
        <v>751</v>
      </c>
      <c r="H10" s="12">
        <v>0.27</v>
      </c>
      <c r="I10" s="12">
        <v>171.62</v>
      </c>
      <c r="J10" s="12">
        <v>0.37</v>
      </c>
      <c r="K10" s="12"/>
      <c r="L10" s="12">
        <v>554.5</v>
      </c>
      <c r="M10" s="12"/>
      <c r="N10" s="12"/>
      <c r="O10" s="12">
        <v>8.08</v>
      </c>
    </row>
    <row r="11" spans="1:27" s="10" customFormat="1" ht="27.6" x14ac:dyDescent="0.3">
      <c r="A11" s="135">
        <v>310</v>
      </c>
      <c r="B11" s="6" t="s">
        <v>129</v>
      </c>
      <c r="C11" s="91">
        <v>200</v>
      </c>
      <c r="D11" s="92">
        <v>0.5</v>
      </c>
      <c r="E11" s="91">
        <v>0.1</v>
      </c>
      <c r="F11" s="92">
        <v>30.9</v>
      </c>
      <c r="G11" s="91">
        <v>123</v>
      </c>
      <c r="H11" s="92">
        <v>0.01</v>
      </c>
      <c r="I11" s="91">
        <v>0.11</v>
      </c>
      <c r="J11" s="92" t="s">
        <v>130</v>
      </c>
      <c r="K11" s="91" t="s">
        <v>130</v>
      </c>
      <c r="L11" s="92">
        <v>14.19</v>
      </c>
      <c r="M11" s="91">
        <v>0.19</v>
      </c>
      <c r="N11" s="92">
        <v>8.07</v>
      </c>
      <c r="O11" s="93">
        <v>0.89</v>
      </c>
    </row>
    <row r="12" spans="1:27" s="10" customFormat="1" x14ac:dyDescent="0.3">
      <c r="A12" s="150">
        <v>1.5</v>
      </c>
      <c r="B12" s="6" t="s">
        <v>14</v>
      </c>
      <c r="C12" s="135">
        <v>50</v>
      </c>
      <c r="D12" s="12">
        <v>2.2400000000000002</v>
      </c>
      <c r="E12" s="12">
        <v>0.88</v>
      </c>
      <c r="F12" s="12">
        <v>19.760000000000002</v>
      </c>
      <c r="G12" s="12">
        <v>91.96</v>
      </c>
      <c r="H12" s="12">
        <v>0.04</v>
      </c>
      <c r="I12" s="12"/>
      <c r="J12" s="12"/>
      <c r="K12" s="12">
        <v>0.36</v>
      </c>
      <c r="L12" s="12">
        <v>9.1999999999999993</v>
      </c>
      <c r="M12" s="12">
        <v>42.4</v>
      </c>
      <c r="N12" s="12">
        <v>10</v>
      </c>
      <c r="O12" s="12">
        <v>1.24</v>
      </c>
    </row>
    <row r="13" spans="1:27" s="10" customFormat="1" x14ac:dyDescent="0.3">
      <c r="A13" s="135">
        <v>1.6</v>
      </c>
      <c r="B13" s="6" t="s">
        <v>60</v>
      </c>
      <c r="C13" s="135">
        <v>50</v>
      </c>
      <c r="D13" s="12">
        <v>3.16</v>
      </c>
      <c r="E13" s="12">
        <v>0.4</v>
      </c>
      <c r="F13" s="12">
        <v>19.32</v>
      </c>
      <c r="G13" s="12">
        <v>93.52</v>
      </c>
      <c r="H13" s="12">
        <v>0.04</v>
      </c>
      <c r="I13" s="12"/>
      <c r="J13" s="12"/>
      <c r="K13" s="12">
        <v>0.52</v>
      </c>
      <c r="L13" s="12">
        <v>9.1999999999999993</v>
      </c>
      <c r="M13" s="12">
        <v>34.799999999999997</v>
      </c>
      <c r="N13" s="12">
        <v>13.2</v>
      </c>
      <c r="O13" s="12">
        <v>0.44</v>
      </c>
    </row>
    <row r="14" spans="1:27" s="24" customFormat="1" ht="15.75" customHeight="1" x14ac:dyDescent="0.3">
      <c r="A14" s="94" t="s">
        <v>11</v>
      </c>
      <c r="B14" s="95"/>
      <c r="C14" s="95"/>
      <c r="D14" s="108">
        <f>SUM(D8:D13)</f>
        <v>42.45</v>
      </c>
      <c r="E14" s="108">
        <f>SUM(E8:E13)</f>
        <v>58.050000000000004</v>
      </c>
      <c r="F14" s="108">
        <f>SUM(F8:F13)</f>
        <v>193.85999999999999</v>
      </c>
      <c r="G14" s="108">
        <f>SUM(G8:G13)</f>
        <v>1468.48</v>
      </c>
      <c r="H14" s="108"/>
      <c r="I14" s="108"/>
      <c r="J14" s="108"/>
      <c r="K14" s="108"/>
      <c r="L14" s="108"/>
      <c r="M14" s="108"/>
      <c r="N14" s="108"/>
      <c r="O14" s="108"/>
    </row>
    <row r="15" spans="1:27" s="7" customFormat="1" ht="24" customHeight="1" x14ac:dyDescent="0.3">
      <c r="A15" s="257" t="s">
        <v>21</v>
      </c>
      <c r="B15" s="257"/>
      <c r="C15" s="257"/>
      <c r="D15" s="257"/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8"/>
    </row>
    <row r="16" spans="1:27" s="41" customFormat="1" ht="13.8" x14ac:dyDescent="0.3">
      <c r="A16" s="40"/>
      <c r="B16" s="30" t="s">
        <v>100</v>
      </c>
      <c r="C16" s="40">
        <v>100</v>
      </c>
      <c r="D16" s="121">
        <v>8.5</v>
      </c>
      <c r="E16" s="120">
        <v>11.3</v>
      </c>
      <c r="F16" s="121">
        <v>69.7</v>
      </c>
      <c r="G16" s="121">
        <v>414.5</v>
      </c>
      <c r="H16" s="121">
        <v>0.1</v>
      </c>
      <c r="I16" s="121"/>
      <c r="J16" s="121">
        <v>65</v>
      </c>
      <c r="K16" s="121">
        <v>1.3</v>
      </c>
      <c r="L16" s="121">
        <v>41</v>
      </c>
      <c r="M16" s="121">
        <v>87</v>
      </c>
      <c r="N16" s="121">
        <v>15</v>
      </c>
      <c r="O16" s="121">
        <v>1</v>
      </c>
    </row>
    <row r="17" spans="1:15" s="23" customFormat="1" ht="18.75" customHeight="1" x14ac:dyDescent="0.3">
      <c r="A17" s="135">
        <v>338</v>
      </c>
      <c r="B17" s="6" t="s">
        <v>17</v>
      </c>
      <c r="C17" s="135">
        <v>150</v>
      </c>
      <c r="D17" s="12">
        <v>0.4</v>
      </c>
      <c r="E17" s="12">
        <v>0.4</v>
      </c>
      <c r="F17" s="12">
        <v>9.8000000000000007</v>
      </c>
      <c r="G17" s="12">
        <v>47</v>
      </c>
      <c r="H17" s="12">
        <v>0.03</v>
      </c>
      <c r="I17" s="12">
        <v>10</v>
      </c>
      <c r="J17" s="12"/>
      <c r="K17" s="12">
        <v>0.2</v>
      </c>
      <c r="L17" s="12">
        <v>16</v>
      </c>
      <c r="M17" s="12">
        <v>11</v>
      </c>
      <c r="N17" s="12">
        <v>9</v>
      </c>
      <c r="O17" s="12">
        <v>2.2000000000000002</v>
      </c>
    </row>
    <row r="18" spans="1:15" s="24" customFormat="1" ht="16.2" customHeight="1" x14ac:dyDescent="0.3">
      <c r="A18" s="94" t="s">
        <v>11</v>
      </c>
      <c r="B18" s="95"/>
      <c r="C18" s="95"/>
      <c r="D18" s="108">
        <f>SUM(D16:D17)</f>
        <v>8.9</v>
      </c>
      <c r="E18" s="108">
        <f>SUM(E16:E17)</f>
        <v>11.700000000000001</v>
      </c>
      <c r="F18" s="108">
        <f>SUM(F16:F17)</f>
        <v>79.5</v>
      </c>
      <c r="G18" s="108">
        <f>SUM(G16:G17)</f>
        <v>461.5</v>
      </c>
      <c r="H18" s="108"/>
      <c r="I18" s="108"/>
      <c r="J18" s="108"/>
      <c r="K18" s="108"/>
      <c r="L18" s="108"/>
      <c r="M18" s="108"/>
      <c r="N18" s="108"/>
      <c r="O18" s="108"/>
    </row>
    <row r="19" spans="1:15" s="7" customFormat="1" ht="16.2" customHeight="1" x14ac:dyDescent="0.3">
      <c r="A19" s="115" t="s">
        <v>15</v>
      </c>
      <c r="B19" s="116"/>
      <c r="C19" s="117"/>
      <c r="D19" s="111">
        <f>SUM(D14,D18)</f>
        <v>51.35</v>
      </c>
      <c r="E19" s="111">
        <f>SUM(E14,E18)</f>
        <v>69.75</v>
      </c>
      <c r="F19" s="111">
        <f>SUM(G14,)</f>
        <v>1468.48</v>
      </c>
      <c r="G19" s="111">
        <f>SUM(G14,G18)</f>
        <v>1929.98</v>
      </c>
      <c r="H19" s="108"/>
      <c r="I19" s="108"/>
      <c r="J19" s="108"/>
      <c r="K19" s="108"/>
      <c r="L19" s="108"/>
      <c r="M19" s="108"/>
      <c r="N19" s="108"/>
      <c r="O19" s="108"/>
    </row>
    <row r="20" spans="1:15" ht="15" thickBot="1" x14ac:dyDescent="0.35"/>
    <row r="21" spans="1:15" ht="27" thickBot="1" x14ac:dyDescent="0.35">
      <c r="B21" s="188" t="s">
        <v>44</v>
      </c>
      <c r="C21" s="189"/>
      <c r="D21" s="189"/>
      <c r="E21" s="189"/>
      <c r="F21" s="192" t="s">
        <v>45</v>
      </c>
      <c r="G21" s="193"/>
      <c r="H21" s="194"/>
      <c r="I21" s="33" t="s">
        <v>46</v>
      </c>
    </row>
    <row r="22" spans="1:15" ht="15" thickBot="1" x14ac:dyDescent="0.35">
      <c r="B22" s="190"/>
      <c r="C22" s="191"/>
      <c r="D22" s="191"/>
      <c r="E22" s="191"/>
      <c r="F22" s="34" t="s">
        <v>1</v>
      </c>
      <c r="G22" s="34" t="s">
        <v>2</v>
      </c>
      <c r="H22" s="34" t="s">
        <v>3</v>
      </c>
      <c r="I22" s="35"/>
    </row>
    <row r="23" spans="1:15" ht="15" thickBot="1" x14ac:dyDescent="0.35">
      <c r="B23" s="165" t="s">
        <v>48</v>
      </c>
      <c r="C23" s="166"/>
      <c r="D23" s="166"/>
      <c r="E23" s="166"/>
      <c r="F23" s="34" t="s">
        <v>49</v>
      </c>
      <c r="G23" s="34" t="s">
        <v>50</v>
      </c>
      <c r="H23" s="34" t="s">
        <v>51</v>
      </c>
      <c r="I23" s="34" t="s">
        <v>104</v>
      </c>
    </row>
    <row r="24" spans="1:15" ht="18" customHeight="1" thickBot="1" x14ac:dyDescent="0.35">
      <c r="B24" s="165" t="s">
        <v>47</v>
      </c>
      <c r="C24" s="166"/>
      <c r="D24" s="166"/>
      <c r="E24" s="166"/>
      <c r="F24" s="36">
        <f>D19</f>
        <v>51.35</v>
      </c>
      <c r="G24" s="36">
        <f>E19</f>
        <v>69.75</v>
      </c>
      <c r="H24" s="36">
        <f>F19</f>
        <v>1468.48</v>
      </c>
      <c r="I24" s="36">
        <f>G19</f>
        <v>1929.98</v>
      </c>
    </row>
    <row r="26" spans="1:15" ht="32.25" customHeight="1" x14ac:dyDescent="0.3">
      <c r="B26" s="185" t="s">
        <v>93</v>
      </c>
      <c r="C26" s="185"/>
      <c r="D26" s="185"/>
      <c r="E26" s="185"/>
      <c r="F26" s="185"/>
      <c r="G26" s="185"/>
      <c r="H26" s="185"/>
    </row>
    <row r="27" spans="1:15" ht="20.25" customHeight="1" x14ac:dyDescent="0.3">
      <c r="B27" s="73" t="s">
        <v>55</v>
      </c>
      <c r="C27" s="180" t="s">
        <v>56</v>
      </c>
      <c r="D27" s="180"/>
      <c r="E27" s="180"/>
      <c r="F27" s="180"/>
      <c r="G27" s="186" t="s">
        <v>94</v>
      </c>
      <c r="H27" s="187"/>
      <c r="J27" s="9" t="s">
        <v>30</v>
      </c>
      <c r="K27" s="8" t="s">
        <v>38</v>
      </c>
    </row>
    <row r="28" spans="1:15" ht="26.4" x14ac:dyDescent="0.3">
      <c r="B28" s="183"/>
      <c r="C28" s="181" t="s">
        <v>57</v>
      </c>
      <c r="D28" s="182"/>
      <c r="E28" s="181" t="s">
        <v>58</v>
      </c>
      <c r="F28" s="182"/>
      <c r="G28" s="73" t="s">
        <v>57</v>
      </c>
      <c r="H28" s="73" t="s">
        <v>58</v>
      </c>
      <c r="J28" s="9" t="s">
        <v>32</v>
      </c>
      <c r="K28" s="8" t="s">
        <v>54</v>
      </c>
    </row>
    <row r="29" spans="1:15" ht="28.8" x14ac:dyDescent="0.3">
      <c r="B29" s="184"/>
      <c r="C29" s="181" t="s">
        <v>37</v>
      </c>
      <c r="D29" s="182"/>
      <c r="E29" s="181" t="s">
        <v>37</v>
      </c>
      <c r="F29" s="182"/>
      <c r="G29" s="73" t="s">
        <v>37</v>
      </c>
      <c r="H29" s="73" t="s">
        <v>37</v>
      </c>
      <c r="J29" s="9" t="s">
        <v>34</v>
      </c>
      <c r="K29" s="8" t="s">
        <v>35</v>
      </c>
    </row>
    <row r="30" spans="1:15" ht="62.4" x14ac:dyDescent="0.3">
      <c r="B30" s="74" t="s">
        <v>59</v>
      </c>
      <c r="C30" s="172">
        <v>80</v>
      </c>
      <c r="D30" s="173"/>
      <c r="E30" s="172">
        <v>80</v>
      </c>
      <c r="F30" s="173"/>
      <c r="G30" s="75">
        <v>40</v>
      </c>
      <c r="H30" s="75">
        <v>40</v>
      </c>
      <c r="J30" s="9" t="s">
        <v>36</v>
      </c>
      <c r="K30" s="8" t="s">
        <v>37</v>
      </c>
    </row>
    <row r="31" spans="1:15" x14ac:dyDescent="0.3">
      <c r="B31" s="74" t="s">
        <v>60</v>
      </c>
      <c r="C31" s="172">
        <v>150</v>
      </c>
      <c r="D31" s="173"/>
      <c r="E31" s="172">
        <v>150</v>
      </c>
      <c r="F31" s="173"/>
      <c r="G31" s="75">
        <v>70</v>
      </c>
      <c r="H31" s="75">
        <v>70</v>
      </c>
    </row>
    <row r="32" spans="1:15" x14ac:dyDescent="0.3">
      <c r="B32" s="74" t="s">
        <v>61</v>
      </c>
      <c r="C32" s="172">
        <v>15</v>
      </c>
      <c r="D32" s="173"/>
      <c r="E32" s="172">
        <v>15</v>
      </c>
      <c r="F32" s="173"/>
      <c r="G32" s="75">
        <f>2+0.6+17.9</f>
        <v>20.5</v>
      </c>
      <c r="H32" s="75">
        <v>20.5</v>
      </c>
    </row>
    <row r="33" spans="2:8" x14ac:dyDescent="0.3">
      <c r="B33" s="76" t="s">
        <v>62</v>
      </c>
      <c r="C33" s="174">
        <v>45</v>
      </c>
      <c r="D33" s="175"/>
      <c r="E33" s="174">
        <v>45</v>
      </c>
      <c r="F33" s="175"/>
      <c r="G33" s="77">
        <v>44</v>
      </c>
      <c r="H33" s="77">
        <v>44</v>
      </c>
    </row>
    <row r="34" spans="2:8" x14ac:dyDescent="0.3">
      <c r="B34" s="74" t="s">
        <v>63</v>
      </c>
      <c r="C34" s="172">
        <v>15</v>
      </c>
      <c r="D34" s="173"/>
      <c r="E34" s="172">
        <v>15</v>
      </c>
      <c r="F34" s="173"/>
      <c r="G34" s="75">
        <v>52.5</v>
      </c>
      <c r="H34" s="75">
        <v>52.5</v>
      </c>
    </row>
    <row r="35" spans="2:8" x14ac:dyDescent="0.3">
      <c r="B35" s="74" t="s">
        <v>64</v>
      </c>
      <c r="C35" s="172" t="s">
        <v>65</v>
      </c>
      <c r="D35" s="173"/>
      <c r="E35" s="195">
        <v>188</v>
      </c>
      <c r="F35" s="196"/>
      <c r="G35" s="75">
        <v>40</v>
      </c>
      <c r="H35" s="75">
        <v>30</v>
      </c>
    </row>
    <row r="36" spans="2:8" x14ac:dyDescent="0.3">
      <c r="B36" s="74" t="s">
        <v>66</v>
      </c>
      <c r="C36" s="172">
        <v>350</v>
      </c>
      <c r="D36" s="173"/>
      <c r="E36" s="172" t="s">
        <v>67</v>
      </c>
      <c r="F36" s="173"/>
      <c r="G36" s="75">
        <f>63+12.5+3.25+12+2.5+3+2.5+12.5+12+12+92.6</f>
        <v>227.85</v>
      </c>
      <c r="H36" s="90">
        <f>50+10+2.5+10+2.5+10+2.5+2+2+30</f>
        <v>121.5</v>
      </c>
    </row>
    <row r="37" spans="2:8" x14ac:dyDescent="0.3">
      <c r="B37" s="74" t="s">
        <v>68</v>
      </c>
      <c r="C37" s="172">
        <v>200</v>
      </c>
      <c r="D37" s="173"/>
      <c r="E37" s="172" t="s">
        <v>69</v>
      </c>
      <c r="F37" s="173"/>
      <c r="G37" s="75">
        <f>20.7+100+14.3</f>
        <v>135</v>
      </c>
      <c r="H37" s="75">
        <f>100+10+18.2</f>
        <v>128.19999999999999</v>
      </c>
    </row>
    <row r="38" spans="2:8" ht="26.4" x14ac:dyDescent="0.3">
      <c r="B38" s="74" t="s">
        <v>70</v>
      </c>
      <c r="C38" s="172">
        <v>15</v>
      </c>
      <c r="D38" s="173"/>
      <c r="E38" s="172">
        <v>15</v>
      </c>
      <c r="F38" s="173"/>
      <c r="G38" s="75">
        <f>5.6</f>
        <v>5.6</v>
      </c>
      <c r="H38" s="90">
        <v>10</v>
      </c>
    </row>
    <row r="39" spans="2:8" ht="39.6" x14ac:dyDescent="0.3">
      <c r="B39" s="74" t="s">
        <v>71</v>
      </c>
      <c r="C39" s="172">
        <v>200</v>
      </c>
      <c r="D39" s="173"/>
      <c r="E39" s="172">
        <v>200</v>
      </c>
      <c r="F39" s="173"/>
      <c r="G39" s="75">
        <v>200</v>
      </c>
      <c r="H39" s="75">
        <v>200</v>
      </c>
    </row>
    <row r="40" spans="2:8" ht="26.4" x14ac:dyDescent="0.3">
      <c r="B40" s="74" t="s">
        <v>72</v>
      </c>
      <c r="C40" s="172" t="s">
        <v>73</v>
      </c>
      <c r="D40" s="173"/>
      <c r="E40" s="172">
        <v>70</v>
      </c>
      <c r="F40" s="173"/>
      <c r="G40" s="90">
        <f>110+40</f>
        <v>150</v>
      </c>
      <c r="H40" s="75">
        <f>81+25</f>
        <v>106</v>
      </c>
    </row>
    <row r="41" spans="2:8" ht="26.4" x14ac:dyDescent="0.3">
      <c r="B41" s="74" t="s">
        <v>74</v>
      </c>
      <c r="C41" s="172" t="s">
        <v>75</v>
      </c>
      <c r="D41" s="173"/>
      <c r="E41" s="172">
        <v>35</v>
      </c>
      <c r="F41" s="173"/>
      <c r="G41" s="75"/>
      <c r="H41" s="75"/>
    </row>
    <row r="42" spans="2:8" x14ac:dyDescent="0.3">
      <c r="B42" s="74" t="s">
        <v>76</v>
      </c>
      <c r="C42" s="172">
        <v>60</v>
      </c>
      <c r="D42" s="173"/>
      <c r="E42" s="172">
        <v>58</v>
      </c>
      <c r="F42" s="173"/>
      <c r="G42" s="75"/>
      <c r="H42" s="75"/>
    </row>
    <row r="43" spans="2:8" x14ac:dyDescent="0.3">
      <c r="B43" s="74" t="s">
        <v>77</v>
      </c>
      <c r="C43" s="172">
        <v>15</v>
      </c>
      <c r="D43" s="173"/>
      <c r="E43" s="172">
        <v>14.7</v>
      </c>
      <c r="F43" s="173"/>
      <c r="G43" s="75"/>
      <c r="H43" s="75"/>
    </row>
    <row r="44" spans="2:8" ht="26.4" x14ac:dyDescent="0.3">
      <c r="B44" s="74" t="s">
        <v>78</v>
      </c>
      <c r="C44" s="172">
        <v>300</v>
      </c>
      <c r="D44" s="173"/>
      <c r="E44" s="172">
        <v>300</v>
      </c>
      <c r="F44" s="173"/>
      <c r="G44" s="75">
        <f>211+200</f>
        <v>411</v>
      </c>
      <c r="H44" s="75">
        <f>400</f>
        <v>400</v>
      </c>
    </row>
    <row r="45" spans="2:8" ht="39.6" x14ac:dyDescent="0.3">
      <c r="B45" s="74" t="s">
        <v>79</v>
      </c>
      <c r="C45" s="172">
        <v>150</v>
      </c>
      <c r="D45" s="173"/>
      <c r="E45" s="172">
        <v>150</v>
      </c>
      <c r="F45" s="173"/>
      <c r="G45" s="75"/>
      <c r="H45" s="75"/>
    </row>
    <row r="46" spans="2:8" ht="26.4" x14ac:dyDescent="0.3">
      <c r="B46" s="74" t="s">
        <v>80</v>
      </c>
      <c r="C46" s="172">
        <v>50</v>
      </c>
      <c r="D46" s="173"/>
      <c r="E46" s="172">
        <v>50</v>
      </c>
      <c r="F46" s="173"/>
      <c r="G46" s="75"/>
      <c r="H46" s="75"/>
    </row>
    <row r="47" spans="2:8" x14ac:dyDescent="0.3">
      <c r="B47" s="74" t="s">
        <v>81</v>
      </c>
      <c r="C47" s="172">
        <v>10</v>
      </c>
      <c r="D47" s="173"/>
      <c r="E47" s="172">
        <v>9.8000000000000007</v>
      </c>
      <c r="F47" s="173"/>
      <c r="G47" s="75">
        <v>16</v>
      </c>
      <c r="H47" s="90">
        <v>15</v>
      </c>
    </row>
    <row r="48" spans="2:8" ht="26.4" x14ac:dyDescent="0.3">
      <c r="B48" s="74" t="s">
        <v>82</v>
      </c>
      <c r="C48" s="172">
        <v>10</v>
      </c>
      <c r="D48" s="173"/>
      <c r="E48" s="172">
        <v>10</v>
      </c>
      <c r="F48" s="173"/>
      <c r="G48" s="80"/>
      <c r="H48" s="80"/>
    </row>
    <row r="49" spans="2:8" x14ac:dyDescent="0.3">
      <c r="B49" s="74" t="s">
        <v>83</v>
      </c>
      <c r="C49" s="172">
        <v>30</v>
      </c>
      <c r="D49" s="173"/>
      <c r="E49" s="172">
        <v>30</v>
      </c>
      <c r="F49" s="173"/>
      <c r="G49" s="75">
        <f>5+10+4.5+0.8</f>
        <v>20.3</v>
      </c>
      <c r="H49" s="75">
        <v>20.3</v>
      </c>
    </row>
    <row r="50" spans="2:8" x14ac:dyDescent="0.3">
      <c r="B50" s="74" t="s">
        <v>84</v>
      </c>
      <c r="C50" s="172">
        <v>15</v>
      </c>
      <c r="D50" s="173"/>
      <c r="E50" s="172">
        <v>15</v>
      </c>
      <c r="F50" s="173"/>
      <c r="G50" s="90">
        <v>15.7</v>
      </c>
      <c r="H50" s="75">
        <v>15.7</v>
      </c>
    </row>
    <row r="51" spans="2:8" x14ac:dyDescent="0.3">
      <c r="B51" s="74" t="s">
        <v>85</v>
      </c>
      <c r="C51" s="172" t="s">
        <v>86</v>
      </c>
      <c r="D51" s="173"/>
      <c r="E51" s="172">
        <v>40</v>
      </c>
      <c r="F51" s="173"/>
      <c r="G51" s="75">
        <f>0.7+0.9</f>
        <v>1.6</v>
      </c>
      <c r="H51" s="75">
        <v>1.6</v>
      </c>
    </row>
    <row r="52" spans="2:8" x14ac:dyDescent="0.3">
      <c r="B52" s="74" t="s">
        <v>87</v>
      </c>
      <c r="C52" s="172">
        <v>40</v>
      </c>
      <c r="D52" s="173"/>
      <c r="E52" s="195">
        <v>40</v>
      </c>
      <c r="F52" s="196"/>
      <c r="G52" s="75">
        <f>1+6+2+5.4+20+0.9</f>
        <v>35.299999999999997</v>
      </c>
      <c r="H52" s="75">
        <v>35.299999999999997</v>
      </c>
    </row>
    <row r="53" spans="2:8" x14ac:dyDescent="0.3">
      <c r="B53" s="74" t="s">
        <v>88</v>
      </c>
      <c r="C53" s="195">
        <v>10</v>
      </c>
      <c r="D53" s="196"/>
      <c r="E53" s="172">
        <v>10</v>
      </c>
      <c r="F53" s="173"/>
      <c r="G53" s="75"/>
      <c r="H53" s="75"/>
    </row>
    <row r="54" spans="2:8" x14ac:dyDescent="0.3">
      <c r="B54" s="74" t="s">
        <v>89</v>
      </c>
      <c r="C54" s="172">
        <v>0.4</v>
      </c>
      <c r="D54" s="173"/>
      <c r="E54" s="172">
        <v>0.4</v>
      </c>
      <c r="F54" s="173"/>
      <c r="G54" s="75"/>
      <c r="H54" s="75"/>
    </row>
    <row r="55" spans="2:8" x14ac:dyDescent="0.3">
      <c r="B55" s="74" t="s">
        <v>90</v>
      </c>
      <c r="C55" s="172">
        <v>1.2</v>
      </c>
      <c r="D55" s="173"/>
      <c r="E55" s="172">
        <v>1.2</v>
      </c>
      <c r="F55" s="173"/>
      <c r="G55" s="75"/>
      <c r="H55" s="75"/>
    </row>
    <row r="56" spans="2:8" x14ac:dyDescent="0.3">
      <c r="B56" s="74" t="s">
        <v>91</v>
      </c>
      <c r="C56" s="172">
        <v>1</v>
      </c>
      <c r="D56" s="173"/>
      <c r="E56" s="172">
        <v>1</v>
      </c>
      <c r="F56" s="173"/>
      <c r="G56" s="75">
        <v>0.5</v>
      </c>
      <c r="H56" s="75">
        <v>0.5</v>
      </c>
    </row>
    <row r="57" spans="2:8" x14ac:dyDescent="0.3">
      <c r="B57" s="74" t="s">
        <v>92</v>
      </c>
      <c r="C57" s="172">
        <v>5</v>
      </c>
      <c r="D57" s="173"/>
      <c r="E57" s="172">
        <v>5</v>
      </c>
      <c r="F57" s="173"/>
      <c r="G57" s="75">
        <v>3.2</v>
      </c>
      <c r="H57" s="75">
        <v>3.2</v>
      </c>
    </row>
  </sheetData>
  <sheetProtection formatCells="0" formatColumns="0" formatRows="0" insertColumns="0" insertRows="0" insertHyperlinks="0" deleteColumns="0" deleteRows="0" sort="0" autoFilter="0" pivotTables="0"/>
  <mergeCells count="77">
    <mergeCell ref="E34:F34"/>
    <mergeCell ref="E33:F33"/>
    <mergeCell ref="E32:F32"/>
    <mergeCell ref="E31:F31"/>
    <mergeCell ref="E30:F30"/>
    <mergeCell ref="E39:F39"/>
    <mergeCell ref="E38:F38"/>
    <mergeCell ref="E37:F37"/>
    <mergeCell ref="E36:F36"/>
    <mergeCell ref="E35:F35"/>
    <mergeCell ref="E44:F44"/>
    <mergeCell ref="E43:F43"/>
    <mergeCell ref="E42:F42"/>
    <mergeCell ref="E41:F41"/>
    <mergeCell ref="E40:F40"/>
    <mergeCell ref="E49:F49"/>
    <mergeCell ref="E48:F48"/>
    <mergeCell ref="E47:F47"/>
    <mergeCell ref="E46:F46"/>
    <mergeCell ref="E45:F45"/>
    <mergeCell ref="E54:F54"/>
    <mergeCell ref="E53:F53"/>
    <mergeCell ref="E52:F52"/>
    <mergeCell ref="E51:F51"/>
    <mergeCell ref="E50:F50"/>
    <mergeCell ref="C55:D55"/>
    <mergeCell ref="C56:D56"/>
    <mergeCell ref="C57:D57"/>
    <mergeCell ref="E57:F57"/>
    <mergeCell ref="E56:F56"/>
    <mergeCell ref="E55:F55"/>
    <mergeCell ref="C50:D50"/>
    <mergeCell ref="C51:D51"/>
    <mergeCell ref="C52:D52"/>
    <mergeCell ref="C53:D53"/>
    <mergeCell ref="C54:D54"/>
    <mergeCell ref="C45:D45"/>
    <mergeCell ref="C46:D46"/>
    <mergeCell ref="C47:D47"/>
    <mergeCell ref="C48:D48"/>
    <mergeCell ref="C49:D49"/>
    <mergeCell ref="C40:D40"/>
    <mergeCell ref="C41:D41"/>
    <mergeCell ref="C42:D42"/>
    <mergeCell ref="C43:D43"/>
    <mergeCell ref="C44:D44"/>
    <mergeCell ref="C35:D35"/>
    <mergeCell ref="C36:D36"/>
    <mergeCell ref="C37:D37"/>
    <mergeCell ref="C38:D38"/>
    <mergeCell ref="C39:D39"/>
    <mergeCell ref="C30:D30"/>
    <mergeCell ref="C31:D31"/>
    <mergeCell ref="C32:D32"/>
    <mergeCell ref="C33:D33"/>
    <mergeCell ref="C34:D34"/>
    <mergeCell ref="B26:H26"/>
    <mergeCell ref="C27:F27"/>
    <mergeCell ref="B28:B29"/>
    <mergeCell ref="C28:D28"/>
    <mergeCell ref="E28:F28"/>
    <mergeCell ref="G27:H27"/>
    <mergeCell ref="C29:D29"/>
    <mergeCell ref="E29:F29"/>
    <mergeCell ref="B21:E22"/>
    <mergeCell ref="F21:H21"/>
    <mergeCell ref="B23:E23"/>
    <mergeCell ref="B24:E24"/>
    <mergeCell ref="A7:O7"/>
    <mergeCell ref="A15:O15"/>
    <mergeCell ref="H5:K5"/>
    <mergeCell ref="L5:O5"/>
    <mergeCell ref="A5:A6"/>
    <mergeCell ref="B5:B6"/>
    <mergeCell ref="C5:C6"/>
    <mergeCell ref="D5:F5"/>
    <mergeCell ref="G5:G6"/>
  </mergeCells>
  <pageMargins left="0.70866141732283472" right="0.70866141732283472" top="0.74803149606299213" bottom="0.74803149606299213" header="0.31496062992125984" footer="0.31496062992125984"/>
  <pageSetup paperSize="9" scale="68" fitToWidth="2" fitToHeight="2" orientation="landscape" r:id="rId1"/>
  <rowBreaks count="1" manualBreakCount="1">
    <brk id="24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Q57"/>
  <sheetViews>
    <sheetView view="pageBreakPreview" topLeftCell="A4" zoomScale="80" zoomScaleNormal="100" zoomScaleSheetLayoutView="80" workbookViewId="0">
      <selection activeCell="A8" sqref="A8:O8"/>
    </sheetView>
  </sheetViews>
  <sheetFormatPr defaultRowHeight="14.4" x14ac:dyDescent="0.3"/>
  <cols>
    <col min="1" max="1" width="12.6640625" customWidth="1"/>
    <col min="2" max="2" width="27.33203125" bestFit="1" customWidth="1"/>
    <col min="4" max="4" width="10.6640625" customWidth="1"/>
    <col min="6" max="6" width="10.6640625" bestFit="1" customWidth="1"/>
    <col min="7" max="7" width="9.5546875" bestFit="1" customWidth="1"/>
    <col min="9" max="9" width="9.5546875" bestFit="1" customWidth="1"/>
    <col min="10" max="10" width="10.44140625" customWidth="1"/>
  </cols>
  <sheetData>
    <row r="1" spans="1:17" ht="15.6" x14ac:dyDescent="0.3">
      <c r="A1" s="9" t="s">
        <v>30</v>
      </c>
      <c r="B1" s="8" t="s">
        <v>39</v>
      </c>
    </row>
    <row r="2" spans="1:17" ht="15.6" x14ac:dyDescent="0.3">
      <c r="A2" s="9" t="s">
        <v>32</v>
      </c>
      <c r="B2" s="8" t="s">
        <v>54</v>
      </c>
    </row>
    <row r="3" spans="1:17" ht="15.6" x14ac:dyDescent="0.3">
      <c r="A3" s="9" t="s">
        <v>34</v>
      </c>
      <c r="B3" s="8" t="s">
        <v>35</v>
      </c>
    </row>
    <row r="4" spans="1:17" ht="31.2" x14ac:dyDescent="0.3">
      <c r="A4" s="9" t="s">
        <v>36</v>
      </c>
      <c r="B4" s="8" t="s">
        <v>37</v>
      </c>
    </row>
    <row r="5" spans="1:17" ht="15.75" customHeight="1" x14ac:dyDescent="0.3">
      <c r="A5" s="253" t="s">
        <v>25</v>
      </c>
      <c r="B5" s="253" t="s">
        <v>20</v>
      </c>
      <c r="C5" s="253" t="s">
        <v>23</v>
      </c>
      <c r="D5" s="250" t="s">
        <v>28</v>
      </c>
      <c r="E5" s="251"/>
      <c r="F5" s="252"/>
      <c r="G5" s="253" t="s">
        <v>0</v>
      </c>
      <c r="H5" s="250" t="s">
        <v>27</v>
      </c>
      <c r="I5" s="251"/>
      <c r="J5" s="251"/>
      <c r="K5" s="252"/>
      <c r="L5" s="250" t="s">
        <v>26</v>
      </c>
      <c r="M5" s="251"/>
      <c r="N5" s="251"/>
      <c r="O5" s="252"/>
    </row>
    <row r="6" spans="1:17" ht="15.6" x14ac:dyDescent="0.3">
      <c r="A6" s="254"/>
      <c r="B6" s="254"/>
      <c r="C6" s="254"/>
      <c r="D6" s="5" t="s">
        <v>1</v>
      </c>
      <c r="E6" s="5" t="s">
        <v>2</v>
      </c>
      <c r="F6" s="5" t="s">
        <v>3</v>
      </c>
      <c r="G6" s="254"/>
      <c r="H6" s="5" t="s">
        <v>19</v>
      </c>
      <c r="I6" s="5" t="s">
        <v>4</v>
      </c>
      <c r="J6" s="5" t="s">
        <v>5</v>
      </c>
      <c r="K6" s="5" t="s">
        <v>6</v>
      </c>
      <c r="L6" s="5" t="s">
        <v>7</v>
      </c>
      <c r="M6" s="5" t="s">
        <v>122</v>
      </c>
      <c r="N6" s="5" t="s">
        <v>9</v>
      </c>
      <c r="O6" s="5" t="s">
        <v>10</v>
      </c>
    </row>
    <row r="7" spans="1:17" s="24" customFormat="1" ht="16.2" customHeight="1" x14ac:dyDescent="0.3">
      <c r="A7" s="260" t="s">
        <v>22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51"/>
      <c r="Q7" s="51"/>
    </row>
    <row r="8" spans="1:17" s="10" customFormat="1" ht="41.4" x14ac:dyDescent="0.3">
      <c r="A8" s="135">
        <v>55</v>
      </c>
      <c r="B8" s="6" t="s">
        <v>107</v>
      </c>
      <c r="C8" s="135">
        <v>250</v>
      </c>
      <c r="D8" s="12">
        <v>2</v>
      </c>
      <c r="E8" s="12">
        <v>5.4</v>
      </c>
      <c r="F8" s="12">
        <v>8.8000000000000007</v>
      </c>
      <c r="G8" s="12">
        <v>96</v>
      </c>
      <c r="H8" s="12">
        <v>0.06</v>
      </c>
      <c r="I8" s="12">
        <v>0</v>
      </c>
      <c r="J8" s="12"/>
      <c r="K8" s="12">
        <v>0</v>
      </c>
      <c r="L8" s="12">
        <v>40.619999999999997</v>
      </c>
      <c r="M8" s="12">
        <v>0.06</v>
      </c>
      <c r="N8" s="12">
        <v>19.86</v>
      </c>
      <c r="O8" s="12">
        <v>0.73</v>
      </c>
    </row>
    <row r="9" spans="1:17" s="10" customFormat="1" x14ac:dyDescent="0.3">
      <c r="A9" s="135">
        <v>183</v>
      </c>
      <c r="B9" s="6" t="s">
        <v>18</v>
      </c>
      <c r="C9" s="135" t="s">
        <v>125</v>
      </c>
      <c r="D9" s="12">
        <v>10.6</v>
      </c>
      <c r="E9" s="12">
        <v>6.8</v>
      </c>
      <c r="F9" s="12">
        <v>46.3</v>
      </c>
      <c r="G9" s="12">
        <v>312</v>
      </c>
      <c r="H9" s="12">
        <v>0.31</v>
      </c>
      <c r="I9" s="12"/>
      <c r="J9" s="12"/>
      <c r="K9" s="12">
        <v>0</v>
      </c>
      <c r="L9" s="12">
        <v>17.21</v>
      </c>
      <c r="M9" s="12">
        <v>0.16</v>
      </c>
      <c r="N9" s="12">
        <v>162.83000000000001</v>
      </c>
      <c r="O9" s="12">
        <v>5.58</v>
      </c>
    </row>
    <row r="10" spans="1:17" s="10" customFormat="1" x14ac:dyDescent="0.3">
      <c r="A10" s="135">
        <v>96</v>
      </c>
      <c r="B10" s="6" t="s">
        <v>120</v>
      </c>
      <c r="C10" s="135">
        <v>100</v>
      </c>
      <c r="D10" s="12">
        <v>13.8</v>
      </c>
      <c r="E10" s="12">
        <v>14.3</v>
      </c>
      <c r="F10" s="12">
        <v>3.1</v>
      </c>
      <c r="G10" s="12">
        <v>197</v>
      </c>
      <c r="H10" s="12">
        <v>0.03</v>
      </c>
      <c r="I10" s="12">
        <v>0.28000000000000003</v>
      </c>
      <c r="J10" s="12"/>
      <c r="K10" s="12"/>
      <c r="L10" s="12">
        <v>11.27</v>
      </c>
      <c r="M10" s="12">
        <v>0.08</v>
      </c>
      <c r="N10" s="12">
        <v>18.579999999999998</v>
      </c>
      <c r="O10" s="12">
        <v>2.09</v>
      </c>
    </row>
    <row r="11" spans="1:17" s="10" customFormat="1" x14ac:dyDescent="0.3">
      <c r="A11" s="135">
        <v>300</v>
      </c>
      <c r="B11" s="6" t="s">
        <v>123</v>
      </c>
      <c r="C11" s="91">
        <v>200</v>
      </c>
      <c r="D11" s="92">
        <v>0.2</v>
      </c>
      <c r="E11" s="91">
        <v>0</v>
      </c>
      <c r="F11" s="92">
        <v>9.1</v>
      </c>
      <c r="G11" s="91">
        <v>36</v>
      </c>
      <c r="H11" s="92">
        <v>0</v>
      </c>
      <c r="I11" s="91">
        <v>0</v>
      </c>
      <c r="J11" s="92">
        <v>0</v>
      </c>
      <c r="K11" s="91">
        <v>0</v>
      </c>
      <c r="L11" s="92">
        <v>0.26</v>
      </c>
      <c r="M11" s="91">
        <v>0</v>
      </c>
      <c r="N11" s="92">
        <v>0</v>
      </c>
      <c r="O11" s="93">
        <v>0.03</v>
      </c>
    </row>
    <row r="12" spans="1:17" s="10" customFormat="1" x14ac:dyDescent="0.3">
      <c r="A12" s="150">
        <v>1.5</v>
      </c>
      <c r="B12" s="6" t="s">
        <v>14</v>
      </c>
      <c r="C12" s="135">
        <v>50</v>
      </c>
      <c r="D12" s="12">
        <v>2.2400000000000002</v>
      </c>
      <c r="E12" s="12">
        <v>0.88</v>
      </c>
      <c r="F12" s="12">
        <v>19.760000000000002</v>
      </c>
      <c r="G12" s="12">
        <v>91.96</v>
      </c>
      <c r="H12" s="12">
        <v>0.04</v>
      </c>
      <c r="I12" s="12"/>
      <c r="J12" s="12"/>
      <c r="K12" s="12">
        <v>0.36</v>
      </c>
      <c r="L12" s="12">
        <v>9.1999999999999993</v>
      </c>
      <c r="M12" s="12">
        <v>42.4</v>
      </c>
      <c r="N12" s="12">
        <v>10</v>
      </c>
      <c r="O12" s="12">
        <v>1.24</v>
      </c>
    </row>
    <row r="13" spans="1:17" s="10" customFormat="1" x14ac:dyDescent="0.3">
      <c r="A13" s="135">
        <v>1.6</v>
      </c>
      <c r="B13" s="6" t="s">
        <v>60</v>
      </c>
      <c r="C13" s="135">
        <v>50</v>
      </c>
      <c r="D13" s="12">
        <v>3.16</v>
      </c>
      <c r="E13" s="12">
        <v>0.4</v>
      </c>
      <c r="F13" s="12">
        <v>19.32</v>
      </c>
      <c r="G13" s="12">
        <v>93.52</v>
      </c>
      <c r="H13" s="12">
        <v>0.04</v>
      </c>
      <c r="I13" s="12"/>
      <c r="J13" s="12"/>
      <c r="K13" s="12">
        <v>0.52</v>
      </c>
      <c r="L13" s="12">
        <v>9.1999999999999993</v>
      </c>
      <c r="M13" s="12">
        <v>34.799999999999997</v>
      </c>
      <c r="N13" s="12">
        <v>13.2</v>
      </c>
      <c r="O13" s="12">
        <v>0.44</v>
      </c>
    </row>
    <row r="14" spans="1:17" s="24" customFormat="1" ht="16.2" customHeight="1" x14ac:dyDescent="0.3">
      <c r="A14" s="94" t="s">
        <v>11</v>
      </c>
      <c r="B14" s="95"/>
      <c r="C14" s="95"/>
      <c r="D14" s="108">
        <f>SUM(D8:D13)</f>
        <v>31.999999999999996</v>
      </c>
      <c r="E14" s="108">
        <f>SUM(E8:E13)</f>
        <v>27.779999999999998</v>
      </c>
      <c r="F14" s="108">
        <f>SUM(F8:F13)</f>
        <v>106.38</v>
      </c>
      <c r="G14" s="108">
        <f>SUM(G8:G13)</f>
        <v>826.48</v>
      </c>
      <c r="H14" s="108"/>
      <c r="I14" s="108"/>
      <c r="J14" s="108"/>
      <c r="K14" s="108"/>
      <c r="L14" s="108"/>
      <c r="M14" s="108"/>
      <c r="N14" s="108"/>
      <c r="O14" s="108"/>
    </row>
    <row r="15" spans="1:17" s="7" customFormat="1" ht="16.2" customHeight="1" x14ac:dyDescent="0.3">
      <c r="A15" s="262" t="s">
        <v>21</v>
      </c>
      <c r="B15" s="263"/>
      <c r="C15" s="263"/>
      <c r="D15" s="263"/>
      <c r="E15" s="263"/>
      <c r="F15" s="263"/>
      <c r="G15" s="263"/>
      <c r="H15" s="263"/>
      <c r="I15" s="263"/>
      <c r="J15" s="263"/>
      <c r="K15" s="263"/>
      <c r="L15" s="263"/>
      <c r="M15" s="263"/>
      <c r="N15" s="263"/>
      <c r="O15" s="263"/>
    </row>
    <row r="16" spans="1:17" s="138" customFormat="1" ht="13.8" x14ac:dyDescent="0.3">
      <c r="A16" s="63"/>
      <c r="B16" s="137" t="s">
        <v>101</v>
      </c>
      <c r="C16" s="139">
        <v>100</v>
      </c>
      <c r="D16" s="140">
        <v>8.5</v>
      </c>
      <c r="E16" s="141">
        <v>11.3</v>
      </c>
      <c r="F16" s="140">
        <v>69.7</v>
      </c>
      <c r="G16" s="140">
        <v>414.5</v>
      </c>
      <c r="H16" s="140">
        <v>0.1</v>
      </c>
      <c r="I16" s="140"/>
      <c r="J16" s="140">
        <v>65</v>
      </c>
      <c r="K16" s="140">
        <v>1.3</v>
      </c>
      <c r="L16" s="140">
        <v>41</v>
      </c>
      <c r="M16" s="140">
        <v>87</v>
      </c>
      <c r="N16" s="140">
        <v>15</v>
      </c>
      <c r="O16" s="140">
        <v>1</v>
      </c>
    </row>
    <row r="17" spans="1:15" s="62" customFormat="1" x14ac:dyDescent="0.3">
      <c r="A17" s="60">
        <v>338</v>
      </c>
      <c r="B17" s="6" t="s">
        <v>102</v>
      </c>
      <c r="C17" s="85">
        <v>150</v>
      </c>
      <c r="D17" s="61">
        <v>1.5</v>
      </c>
      <c r="E17" s="61">
        <v>0.5</v>
      </c>
      <c r="F17" s="61">
        <v>21</v>
      </c>
      <c r="G17" s="61">
        <v>96</v>
      </c>
      <c r="H17" s="61">
        <v>0.04</v>
      </c>
      <c r="I17" s="61">
        <v>10</v>
      </c>
      <c r="J17" s="61"/>
      <c r="K17" s="61">
        <v>0.4</v>
      </c>
      <c r="L17" s="61">
        <v>8</v>
      </c>
      <c r="M17" s="61">
        <v>28</v>
      </c>
      <c r="N17" s="61">
        <v>42</v>
      </c>
      <c r="O17" s="61">
        <v>0.6</v>
      </c>
    </row>
    <row r="18" spans="1:15" s="7" customFormat="1" ht="16.2" customHeight="1" x14ac:dyDescent="0.3">
      <c r="A18" s="94" t="s">
        <v>11</v>
      </c>
      <c r="B18" s="95"/>
      <c r="C18" s="95"/>
      <c r="D18" s="108">
        <f>SUM(D16:D17)</f>
        <v>10</v>
      </c>
      <c r="E18" s="108">
        <f>SUM(E16:E17)</f>
        <v>11.8</v>
      </c>
      <c r="F18" s="108">
        <f>SUM(F16:F17)</f>
        <v>90.7</v>
      </c>
      <c r="G18" s="108">
        <f>SUM(G16:G17)</f>
        <v>510.5</v>
      </c>
      <c r="H18" s="108"/>
      <c r="I18" s="108"/>
      <c r="J18" s="108"/>
      <c r="K18" s="108"/>
      <c r="L18" s="108"/>
      <c r="M18" s="108"/>
      <c r="N18" s="108"/>
      <c r="O18" s="108"/>
    </row>
    <row r="19" spans="1:15" s="7" customFormat="1" ht="16.2" customHeight="1" x14ac:dyDescent="0.3">
      <c r="A19" s="94" t="s">
        <v>15</v>
      </c>
      <c r="B19" s="95"/>
      <c r="C19" s="95"/>
      <c r="D19" s="146">
        <f>SUM(D14,D18)</f>
        <v>42</v>
      </c>
      <c r="E19" s="146">
        <f>SUM(E14,E18)</f>
        <v>39.58</v>
      </c>
      <c r="F19" s="146">
        <f>SUM(F14,F18)</f>
        <v>197.07999999999998</v>
      </c>
      <c r="G19" s="146">
        <f>SUM(G14,G18)</f>
        <v>1336.98</v>
      </c>
      <c r="H19" s="110"/>
      <c r="I19" s="110"/>
      <c r="J19" s="110"/>
      <c r="K19" s="110"/>
      <c r="L19" s="110"/>
      <c r="M19" s="110"/>
      <c r="N19" s="110"/>
      <c r="O19" s="110"/>
    </row>
    <row r="20" spans="1:15" ht="15" thickBot="1" x14ac:dyDescent="0.35"/>
    <row r="21" spans="1:15" s="10" customFormat="1" ht="40.200000000000003" thickBot="1" x14ac:dyDescent="0.35">
      <c r="B21" s="188" t="s">
        <v>44</v>
      </c>
      <c r="C21" s="189"/>
      <c r="D21" s="189"/>
      <c r="E21" s="189"/>
      <c r="F21" s="192" t="s">
        <v>45</v>
      </c>
      <c r="G21" s="193"/>
      <c r="H21" s="194"/>
      <c r="I21" s="33" t="s">
        <v>46</v>
      </c>
    </row>
    <row r="22" spans="1:15" s="10" customFormat="1" ht="15" thickBot="1" x14ac:dyDescent="0.35">
      <c r="B22" s="190"/>
      <c r="C22" s="191"/>
      <c r="D22" s="191"/>
      <c r="E22" s="191"/>
      <c r="F22" s="34" t="s">
        <v>1</v>
      </c>
      <c r="G22" s="34" t="s">
        <v>2</v>
      </c>
      <c r="H22" s="34" t="s">
        <v>3</v>
      </c>
      <c r="I22" s="35"/>
    </row>
    <row r="23" spans="1:15" s="10" customFormat="1" ht="15" thickBot="1" x14ac:dyDescent="0.35">
      <c r="B23" s="165" t="s">
        <v>48</v>
      </c>
      <c r="C23" s="166"/>
      <c r="D23" s="166"/>
      <c r="E23" s="166"/>
      <c r="F23" s="34" t="s">
        <v>49</v>
      </c>
      <c r="G23" s="34" t="s">
        <v>50</v>
      </c>
      <c r="H23" s="34" t="s">
        <v>51</v>
      </c>
      <c r="I23" s="34" t="s">
        <v>104</v>
      </c>
    </row>
    <row r="24" spans="1:15" ht="15" thickBot="1" x14ac:dyDescent="0.35">
      <c r="B24" s="165" t="s">
        <v>47</v>
      </c>
      <c r="C24" s="166"/>
      <c r="D24" s="166"/>
      <c r="E24" s="166"/>
      <c r="F24" s="26">
        <f>D19+COUNT(K24)</f>
        <v>42</v>
      </c>
      <c r="G24" s="26">
        <f>E19+SUM(J24)</f>
        <v>39.58</v>
      </c>
      <c r="H24" s="26">
        <f>F19</f>
        <v>197.07999999999998</v>
      </c>
      <c r="I24" s="26">
        <f>G19</f>
        <v>1336.98</v>
      </c>
    </row>
    <row r="26" spans="1:15" ht="36.75" customHeight="1" x14ac:dyDescent="0.3">
      <c r="B26" s="185" t="s">
        <v>93</v>
      </c>
      <c r="C26" s="185"/>
      <c r="D26" s="185"/>
      <c r="E26" s="185"/>
      <c r="F26" s="185"/>
      <c r="G26" s="185"/>
      <c r="H26" s="185"/>
      <c r="K26" s="9" t="s">
        <v>30</v>
      </c>
      <c r="L26" s="8" t="s">
        <v>39</v>
      </c>
    </row>
    <row r="27" spans="1:15" ht="24.75" customHeight="1" x14ac:dyDescent="0.3">
      <c r="B27" s="73" t="s">
        <v>55</v>
      </c>
      <c r="C27" s="180" t="s">
        <v>56</v>
      </c>
      <c r="D27" s="180"/>
      <c r="E27" s="180"/>
      <c r="F27" s="180"/>
      <c r="G27" s="186" t="s">
        <v>94</v>
      </c>
      <c r="H27" s="187"/>
      <c r="K27" s="9" t="s">
        <v>32</v>
      </c>
      <c r="L27" s="8" t="s">
        <v>54</v>
      </c>
    </row>
    <row r="28" spans="1:15" ht="28.8" x14ac:dyDescent="0.3">
      <c r="B28" s="183"/>
      <c r="C28" s="181" t="s">
        <v>57</v>
      </c>
      <c r="D28" s="182"/>
      <c r="E28" s="181" t="s">
        <v>58</v>
      </c>
      <c r="F28" s="182"/>
      <c r="G28" s="73" t="s">
        <v>57</v>
      </c>
      <c r="H28" s="73" t="s">
        <v>58</v>
      </c>
      <c r="K28" s="9" t="s">
        <v>34</v>
      </c>
      <c r="L28" s="8" t="s">
        <v>35</v>
      </c>
    </row>
    <row r="29" spans="1:15" ht="40.799999999999997" customHeight="1" x14ac:dyDescent="0.3">
      <c r="B29" s="184"/>
      <c r="C29" s="181" t="s">
        <v>37</v>
      </c>
      <c r="D29" s="182"/>
      <c r="E29" s="181" t="s">
        <v>37</v>
      </c>
      <c r="F29" s="182"/>
      <c r="G29" s="73" t="s">
        <v>37</v>
      </c>
      <c r="H29" s="73" t="s">
        <v>37</v>
      </c>
      <c r="K29" s="9" t="s">
        <v>36</v>
      </c>
      <c r="L29" s="8" t="s">
        <v>37</v>
      </c>
    </row>
    <row r="30" spans="1:15" ht="26.4" x14ac:dyDescent="0.3">
      <c r="B30" s="74" t="s">
        <v>59</v>
      </c>
      <c r="C30" s="172">
        <v>80</v>
      </c>
      <c r="D30" s="173"/>
      <c r="E30" s="172">
        <v>80</v>
      </c>
      <c r="F30" s="173"/>
      <c r="G30" s="75">
        <v>40</v>
      </c>
      <c r="H30" s="75">
        <v>40</v>
      </c>
    </row>
    <row r="31" spans="1:15" x14ac:dyDescent="0.3">
      <c r="B31" s="74" t="s">
        <v>60</v>
      </c>
      <c r="C31" s="172">
        <v>150</v>
      </c>
      <c r="D31" s="173"/>
      <c r="E31" s="172">
        <v>150</v>
      </c>
      <c r="F31" s="173"/>
      <c r="G31" s="75">
        <f>90</f>
        <v>90</v>
      </c>
      <c r="H31" s="75">
        <v>90</v>
      </c>
    </row>
    <row r="32" spans="1:15" x14ac:dyDescent="0.3">
      <c r="B32" s="74" t="s">
        <v>61</v>
      </c>
      <c r="C32" s="172">
        <v>15</v>
      </c>
      <c r="D32" s="173"/>
      <c r="E32" s="172">
        <v>15</v>
      </c>
      <c r="F32" s="173"/>
      <c r="G32" s="75">
        <f>3+3.75+11.5</f>
        <v>18.25</v>
      </c>
      <c r="H32" s="75">
        <v>18.25</v>
      </c>
    </row>
    <row r="33" spans="2:8" x14ac:dyDescent="0.3">
      <c r="B33" s="76" t="s">
        <v>62</v>
      </c>
      <c r="C33" s="174">
        <v>45</v>
      </c>
      <c r="D33" s="175"/>
      <c r="E33" s="174">
        <v>45</v>
      </c>
      <c r="F33" s="175"/>
      <c r="G33" s="77">
        <f>35+40</f>
        <v>75</v>
      </c>
      <c r="H33" s="77">
        <v>75</v>
      </c>
    </row>
    <row r="34" spans="2:8" x14ac:dyDescent="0.3">
      <c r="B34" s="74" t="s">
        <v>63</v>
      </c>
      <c r="C34" s="172">
        <v>15</v>
      </c>
      <c r="D34" s="173"/>
      <c r="E34" s="172">
        <v>15</v>
      </c>
      <c r="F34" s="173"/>
      <c r="G34" s="75"/>
      <c r="H34" s="75"/>
    </row>
    <row r="35" spans="2:8" x14ac:dyDescent="0.3">
      <c r="B35" s="74" t="s">
        <v>64</v>
      </c>
      <c r="C35" s="172" t="s">
        <v>65</v>
      </c>
      <c r="D35" s="173"/>
      <c r="E35" s="195">
        <v>188</v>
      </c>
      <c r="F35" s="196"/>
      <c r="G35" s="75">
        <v>27</v>
      </c>
      <c r="H35" s="75">
        <v>20</v>
      </c>
    </row>
    <row r="36" spans="2:8" x14ac:dyDescent="0.3">
      <c r="B36" s="74" t="s">
        <v>66</v>
      </c>
      <c r="C36" s="172">
        <v>350</v>
      </c>
      <c r="D36" s="173"/>
      <c r="E36" s="172" t="s">
        <v>67</v>
      </c>
      <c r="F36" s="173"/>
      <c r="G36" s="75">
        <f>98.6+12.5+50+25+12.5+3.25+12+7.5</f>
        <v>221.35</v>
      </c>
      <c r="H36" s="90">
        <f>78.9+10+40+20+10+2.5+10+7.5</f>
        <v>178.9</v>
      </c>
    </row>
    <row r="37" spans="2:8" x14ac:dyDescent="0.3">
      <c r="B37" s="74" t="s">
        <v>68</v>
      </c>
      <c r="C37" s="172">
        <v>200</v>
      </c>
      <c r="D37" s="173"/>
      <c r="E37" s="172" t="s">
        <v>69</v>
      </c>
      <c r="F37" s="173"/>
      <c r="G37" s="75">
        <v>100</v>
      </c>
      <c r="H37" s="75">
        <v>100</v>
      </c>
    </row>
    <row r="38" spans="2:8" ht="26.4" x14ac:dyDescent="0.3">
      <c r="B38" s="74" t="s">
        <v>70</v>
      </c>
      <c r="C38" s="172">
        <v>15</v>
      </c>
      <c r="D38" s="173"/>
      <c r="E38" s="172">
        <v>15</v>
      </c>
      <c r="F38" s="173"/>
      <c r="G38" s="75">
        <v>20</v>
      </c>
      <c r="H38" s="75">
        <v>37</v>
      </c>
    </row>
    <row r="39" spans="2:8" ht="39.6" x14ac:dyDescent="0.3">
      <c r="B39" s="74" t="s">
        <v>71</v>
      </c>
      <c r="C39" s="172">
        <v>200</v>
      </c>
      <c r="D39" s="173"/>
      <c r="E39" s="172">
        <v>200</v>
      </c>
      <c r="F39" s="173"/>
      <c r="G39" s="75"/>
      <c r="H39" s="75"/>
    </row>
    <row r="40" spans="2:8" ht="26.4" x14ac:dyDescent="0.3">
      <c r="B40" s="74" t="s">
        <v>72</v>
      </c>
      <c r="C40" s="172" t="s">
        <v>73</v>
      </c>
      <c r="D40" s="173"/>
      <c r="E40" s="172">
        <v>70</v>
      </c>
      <c r="F40" s="173"/>
      <c r="G40" s="75">
        <f>81+40</f>
        <v>121</v>
      </c>
      <c r="H40" s="75">
        <f>71+25</f>
        <v>96</v>
      </c>
    </row>
    <row r="41" spans="2:8" ht="26.4" x14ac:dyDescent="0.3">
      <c r="B41" s="74" t="s">
        <v>74</v>
      </c>
      <c r="C41" s="172" t="s">
        <v>75</v>
      </c>
      <c r="D41" s="173"/>
      <c r="E41" s="172">
        <v>35</v>
      </c>
      <c r="F41" s="173"/>
      <c r="G41" s="75"/>
      <c r="H41" s="75"/>
    </row>
    <row r="42" spans="2:8" x14ac:dyDescent="0.3">
      <c r="B42" s="74" t="s">
        <v>76</v>
      </c>
      <c r="C42" s="172">
        <v>60</v>
      </c>
      <c r="D42" s="173"/>
      <c r="E42" s="172">
        <v>58</v>
      </c>
      <c r="F42" s="173"/>
      <c r="G42" s="75"/>
      <c r="H42" s="75"/>
    </row>
    <row r="43" spans="2:8" x14ac:dyDescent="0.3">
      <c r="B43" s="74" t="s">
        <v>77</v>
      </c>
      <c r="C43" s="172">
        <v>15</v>
      </c>
      <c r="D43" s="173"/>
      <c r="E43" s="172">
        <v>14.7</v>
      </c>
      <c r="F43" s="173"/>
      <c r="G43" s="75"/>
      <c r="H43" s="75"/>
    </row>
    <row r="44" spans="2:8" ht="26.4" x14ac:dyDescent="0.3">
      <c r="B44" s="74" t="s">
        <v>78</v>
      </c>
      <c r="C44" s="172">
        <v>300</v>
      </c>
      <c r="D44" s="173"/>
      <c r="E44" s="172">
        <v>300</v>
      </c>
      <c r="F44" s="173"/>
      <c r="G44" s="75">
        <v>100</v>
      </c>
      <c r="H44" s="75">
        <v>100</v>
      </c>
    </row>
    <row r="45" spans="2:8" ht="39.6" x14ac:dyDescent="0.3">
      <c r="B45" s="74" t="s">
        <v>79</v>
      </c>
      <c r="C45" s="172">
        <v>150</v>
      </c>
      <c r="D45" s="173"/>
      <c r="E45" s="172">
        <v>150</v>
      </c>
      <c r="F45" s="173"/>
      <c r="G45" s="75">
        <v>237</v>
      </c>
      <c r="H45" s="75">
        <v>230</v>
      </c>
    </row>
    <row r="46" spans="2:8" ht="26.4" x14ac:dyDescent="0.3">
      <c r="B46" s="74" t="s">
        <v>80</v>
      </c>
      <c r="C46" s="172">
        <v>50</v>
      </c>
      <c r="D46" s="173"/>
      <c r="E46" s="172">
        <v>50</v>
      </c>
      <c r="F46" s="173"/>
      <c r="G46" s="75">
        <v>83.7</v>
      </c>
      <c r="H46" s="75">
        <v>82</v>
      </c>
    </row>
    <row r="47" spans="2:8" x14ac:dyDescent="0.3">
      <c r="B47" s="74" t="s">
        <v>81</v>
      </c>
      <c r="C47" s="172">
        <v>10</v>
      </c>
      <c r="D47" s="173"/>
      <c r="E47" s="172">
        <v>9.8000000000000007</v>
      </c>
      <c r="F47" s="173"/>
      <c r="G47" s="75"/>
      <c r="H47" s="90"/>
    </row>
    <row r="48" spans="2:8" ht="26.4" x14ac:dyDescent="0.3">
      <c r="B48" s="74" t="s">
        <v>82</v>
      </c>
      <c r="C48" s="172">
        <v>10</v>
      </c>
      <c r="D48" s="173"/>
      <c r="E48" s="172">
        <v>10</v>
      </c>
      <c r="F48" s="173"/>
      <c r="G48" s="80">
        <v>12.5</v>
      </c>
      <c r="H48" s="80">
        <v>12.5</v>
      </c>
    </row>
    <row r="49" spans="2:8" x14ac:dyDescent="0.3">
      <c r="B49" s="74" t="s">
        <v>83</v>
      </c>
      <c r="C49" s="172">
        <v>30</v>
      </c>
      <c r="D49" s="173"/>
      <c r="E49" s="172">
        <v>30</v>
      </c>
      <c r="F49" s="173"/>
      <c r="G49" s="75">
        <v>30</v>
      </c>
      <c r="H49" s="75">
        <v>30</v>
      </c>
    </row>
    <row r="50" spans="2:8" x14ac:dyDescent="0.3">
      <c r="B50" s="74" t="s">
        <v>84</v>
      </c>
      <c r="C50" s="172">
        <v>15</v>
      </c>
      <c r="D50" s="173"/>
      <c r="E50" s="172">
        <v>15</v>
      </c>
      <c r="F50" s="173"/>
      <c r="G50" s="75">
        <v>15</v>
      </c>
      <c r="H50" s="75">
        <v>15</v>
      </c>
    </row>
    <row r="51" spans="2:8" x14ac:dyDescent="0.3">
      <c r="B51" s="74" t="s">
        <v>85</v>
      </c>
      <c r="C51" s="172" t="s">
        <v>86</v>
      </c>
      <c r="D51" s="173"/>
      <c r="E51" s="172">
        <v>40</v>
      </c>
      <c r="F51" s="173"/>
      <c r="G51" s="75">
        <v>40</v>
      </c>
      <c r="H51" s="75">
        <v>40</v>
      </c>
    </row>
    <row r="52" spans="2:8" x14ac:dyDescent="0.3">
      <c r="B52" s="74" t="s">
        <v>87</v>
      </c>
      <c r="C52" s="172">
        <v>40</v>
      </c>
      <c r="D52" s="173"/>
      <c r="E52" s="195">
        <v>40</v>
      </c>
      <c r="F52" s="196"/>
      <c r="G52" s="75">
        <f>5+20+2.5+6+6</f>
        <v>39.5</v>
      </c>
      <c r="H52" s="75">
        <v>39.5</v>
      </c>
    </row>
    <row r="53" spans="2:8" x14ac:dyDescent="0.3">
      <c r="B53" s="74" t="s">
        <v>88</v>
      </c>
      <c r="C53" s="195">
        <v>10</v>
      </c>
      <c r="D53" s="196"/>
      <c r="E53" s="172">
        <v>10</v>
      </c>
      <c r="F53" s="173"/>
      <c r="G53" s="75"/>
      <c r="H53" s="75"/>
    </row>
    <row r="54" spans="2:8" x14ac:dyDescent="0.3">
      <c r="B54" s="74" t="s">
        <v>89</v>
      </c>
      <c r="C54" s="172">
        <v>0.4</v>
      </c>
      <c r="D54" s="173"/>
      <c r="E54" s="172">
        <v>0.4</v>
      </c>
      <c r="F54" s="173"/>
      <c r="G54" s="75">
        <v>0.5</v>
      </c>
      <c r="H54" s="75">
        <v>0.5</v>
      </c>
    </row>
    <row r="55" spans="2:8" x14ac:dyDescent="0.3">
      <c r="B55" s="74" t="s">
        <v>90</v>
      </c>
      <c r="C55" s="172">
        <v>1.2</v>
      </c>
      <c r="D55" s="173"/>
      <c r="E55" s="172">
        <v>1.2</v>
      </c>
      <c r="F55" s="173"/>
      <c r="G55" s="75"/>
      <c r="H55" s="75"/>
    </row>
    <row r="56" spans="2:8" x14ac:dyDescent="0.3">
      <c r="B56" s="74" t="s">
        <v>91</v>
      </c>
      <c r="C56" s="172">
        <v>1</v>
      </c>
      <c r="D56" s="173"/>
      <c r="E56" s="172">
        <v>1</v>
      </c>
      <c r="F56" s="173"/>
      <c r="G56" s="75"/>
      <c r="H56" s="75"/>
    </row>
    <row r="57" spans="2:8" x14ac:dyDescent="0.3">
      <c r="B57" s="74" t="s">
        <v>92</v>
      </c>
      <c r="C57" s="172">
        <v>5</v>
      </c>
      <c r="D57" s="173"/>
      <c r="E57" s="172">
        <v>5</v>
      </c>
      <c r="F57" s="173"/>
      <c r="G57" s="75">
        <v>3.8</v>
      </c>
      <c r="H57" s="75">
        <v>3.8</v>
      </c>
    </row>
  </sheetData>
  <sheetProtection formatCells="0" formatColumns="0" formatRows="0" insertColumns="0" insertRows="0" insertHyperlinks="0" deleteColumns="0" deleteRows="0" sort="0" autoFilter="0" pivotTables="0"/>
  <mergeCells count="77">
    <mergeCell ref="E57:F57"/>
    <mergeCell ref="E52:F52"/>
    <mergeCell ref="E53:F53"/>
    <mergeCell ref="E54:F54"/>
    <mergeCell ref="E55:F55"/>
    <mergeCell ref="E56:F56"/>
    <mergeCell ref="E47:F47"/>
    <mergeCell ref="E48:F48"/>
    <mergeCell ref="E49:F49"/>
    <mergeCell ref="E50:F50"/>
    <mergeCell ref="E51:F51"/>
    <mergeCell ref="E42:F42"/>
    <mergeCell ref="E43:F43"/>
    <mergeCell ref="E44:F44"/>
    <mergeCell ref="E45:F45"/>
    <mergeCell ref="E46:F46"/>
    <mergeCell ref="C55:D55"/>
    <mergeCell ref="C56:D56"/>
    <mergeCell ref="C57:D57"/>
    <mergeCell ref="E30:F30"/>
    <mergeCell ref="E29:F29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C50:D50"/>
    <mergeCell ref="C51:D51"/>
    <mergeCell ref="C52:D52"/>
    <mergeCell ref="C53:D53"/>
    <mergeCell ref="C54:D54"/>
    <mergeCell ref="C45:D45"/>
    <mergeCell ref="C46:D46"/>
    <mergeCell ref="C47:D47"/>
    <mergeCell ref="C48:D48"/>
    <mergeCell ref="C49:D49"/>
    <mergeCell ref="C40:D40"/>
    <mergeCell ref="C41:D41"/>
    <mergeCell ref="C42:D42"/>
    <mergeCell ref="C43:D43"/>
    <mergeCell ref="C44:D44"/>
    <mergeCell ref="C35:D35"/>
    <mergeCell ref="C36:D36"/>
    <mergeCell ref="C37:D37"/>
    <mergeCell ref="C38:D38"/>
    <mergeCell ref="C39:D39"/>
    <mergeCell ref="C30:D30"/>
    <mergeCell ref="C31:D31"/>
    <mergeCell ref="C32:D32"/>
    <mergeCell ref="C33:D33"/>
    <mergeCell ref="C34:D34"/>
    <mergeCell ref="B26:H26"/>
    <mergeCell ref="C27:F27"/>
    <mergeCell ref="B28:B29"/>
    <mergeCell ref="C28:D28"/>
    <mergeCell ref="E28:F28"/>
    <mergeCell ref="G27:H27"/>
    <mergeCell ref="C29:D29"/>
    <mergeCell ref="B21:E22"/>
    <mergeCell ref="F21:H21"/>
    <mergeCell ref="B23:E23"/>
    <mergeCell ref="B24:E24"/>
    <mergeCell ref="A7:O7"/>
    <mergeCell ref="A15:O15"/>
    <mergeCell ref="H5:K5"/>
    <mergeCell ref="L5:O5"/>
    <mergeCell ref="A5:A6"/>
    <mergeCell ref="B5:B6"/>
    <mergeCell ref="C5:C6"/>
    <mergeCell ref="D5:F5"/>
    <mergeCell ref="G5:G6"/>
  </mergeCells>
  <pageMargins left="0.70866141732283472" right="0.70866141732283472" top="0.74803149606299213" bottom="0.74803149606299213" header="0.31496062992125984" footer="0.31496062992125984"/>
  <pageSetup paperSize="9" scale="72" fitToWidth="2" fitToHeight="2" orientation="landscape" r:id="rId1"/>
  <rowBreaks count="1" manualBreakCount="1">
    <brk id="2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Титульный лист</vt:lpstr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свод 10 дней</vt:lpstr>
      <vt:lpstr>'1 день'!Область_печати</vt:lpstr>
      <vt:lpstr>'10 день'!Область_печати</vt:lpstr>
      <vt:lpstr>'2 день'!Область_печати</vt:lpstr>
      <vt:lpstr>'3 день'!Область_печати</vt:lpstr>
      <vt:lpstr>'4 день'!Область_печати</vt:lpstr>
      <vt:lpstr>'5 день'!Область_печати</vt:lpstr>
      <vt:lpstr>'6 день'!Область_печати</vt:lpstr>
      <vt:lpstr>'7 день'!Область_печати</vt:lpstr>
      <vt:lpstr>'8 день'!Область_печати</vt:lpstr>
      <vt:lpstr>'9 день'!Область_печати</vt:lpstr>
      <vt:lpstr>'свод 10 дней'!Область_печати</vt:lpstr>
      <vt:lpstr>'Титульный лист'!Область_печати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Ахмед</dc:creator>
  <cp:lastModifiedBy>Валерия</cp:lastModifiedBy>
  <cp:lastPrinted>2024-04-11T11:59:34Z</cp:lastPrinted>
  <dcterms:created xsi:type="dcterms:W3CDTF">2017-02-04T19:31:45Z</dcterms:created>
  <dcterms:modified xsi:type="dcterms:W3CDTF">2024-08-21T08:53:11Z</dcterms:modified>
  <cp:contentStatus/>
</cp:coreProperties>
</file>