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ново распечатать\"/>
    </mc:Choice>
  </mc:AlternateContent>
  <bookViews>
    <workbookView xWindow="0" yWindow="0" windowWidth="15600" windowHeight="11760" tabRatio="725" firstSheet="1" activeTab="10"/>
  </bookViews>
  <sheets>
    <sheet name="Титульный лист" sheetId="4" r:id="rId1"/>
    <sheet name="1 день" sheetId="5" r:id="rId2"/>
    <sheet name="2 день" sheetId="6" r:id="rId3"/>
    <sheet name="3 день" sheetId="7" r:id="rId4"/>
    <sheet name="4 день" sheetId="8" r:id="rId5"/>
    <sheet name="5 день" sheetId="9" r:id="rId6"/>
    <sheet name="6 день" sheetId="10" r:id="rId7"/>
    <sheet name="7 день" sheetId="11" r:id="rId8"/>
    <sheet name="8 день" sheetId="12" r:id="rId9"/>
    <sheet name="9 день" sheetId="13" r:id="rId10"/>
    <sheet name="10 день" sheetId="14" r:id="rId11"/>
    <sheet name="свод 10 дней" sheetId="15" r:id="rId12"/>
  </sheets>
  <definedNames>
    <definedName name="_xlnm.Print_Area" localSheetId="1">'1 день'!$A$1:$O$47</definedName>
    <definedName name="_xlnm.Print_Area" localSheetId="10">'10 день'!$A$1:$O$53</definedName>
    <definedName name="_xlnm.Print_Area" localSheetId="2">'2 день'!$A$1:$O$51</definedName>
    <definedName name="_xlnm.Print_Area" localSheetId="3">'3 день'!$A$1:$O$53</definedName>
    <definedName name="_xlnm.Print_Area" localSheetId="4">'4 день'!$A$1:$O$53</definedName>
    <definedName name="_xlnm.Print_Area" localSheetId="5">'5 день'!$A$1:$O$53</definedName>
    <definedName name="_xlnm.Print_Area" localSheetId="6">'6 день'!$A$1:$O$53</definedName>
    <definedName name="_xlnm.Print_Area" localSheetId="7">'7 день'!$A$1:$O$53</definedName>
    <definedName name="_xlnm.Print_Area" localSheetId="8">'8 день'!$A$1:$O$53</definedName>
    <definedName name="_xlnm.Print_Area" localSheetId="9">'9 день'!$A$1:$O$53</definedName>
    <definedName name="_xlnm.Print_Area" localSheetId="11">'свод 10 дней'!$A$1:$H$37</definedName>
    <definedName name="_xlnm.Print_Area" localSheetId="0">'Титульный лист'!$A$1:$O$21</definedName>
  </definedNames>
  <calcPr calcId="162913"/>
</workbook>
</file>

<file path=xl/calcChain.xml><?xml version="1.0" encoding="utf-8"?>
<calcChain xmlns="http://schemas.openxmlformats.org/spreadsheetml/2006/main">
  <c r="G15" i="13" l="1"/>
  <c r="G15" i="8" l="1"/>
  <c r="G14" i="8"/>
  <c r="G14" i="7"/>
  <c r="G15" i="7" s="1"/>
  <c r="G14" i="13"/>
  <c r="L8" i="14" l="1"/>
  <c r="E8" i="14"/>
  <c r="D8" i="14"/>
  <c r="O9" i="11"/>
  <c r="N9" i="11"/>
  <c r="M9" i="11"/>
  <c r="L9" i="11"/>
  <c r="K9" i="11"/>
  <c r="J9" i="11"/>
  <c r="I9" i="11"/>
  <c r="H9" i="11"/>
  <c r="G9" i="11"/>
  <c r="F9" i="11"/>
  <c r="E9" i="11"/>
  <c r="L8" i="7" l="1"/>
  <c r="E8" i="7"/>
  <c r="D8" i="7"/>
  <c r="F20" i="12" l="1"/>
  <c r="G20" i="12"/>
  <c r="O8" i="11" l="1"/>
  <c r="N8" i="11"/>
  <c r="M8" i="11"/>
  <c r="L8" i="11"/>
  <c r="K8" i="11"/>
  <c r="I8" i="11"/>
  <c r="H8" i="11"/>
  <c r="F8" i="11"/>
  <c r="E8" i="11"/>
  <c r="D8" i="11"/>
  <c r="O11" i="14" l="1"/>
  <c r="N11" i="14"/>
  <c r="M11" i="14"/>
  <c r="L11" i="14"/>
  <c r="K11" i="14"/>
  <c r="I11" i="14"/>
  <c r="H11" i="14"/>
  <c r="G11" i="14"/>
  <c r="F11" i="14"/>
  <c r="D11" i="14"/>
  <c r="O11" i="9"/>
  <c r="N11" i="9"/>
  <c r="M11" i="9"/>
  <c r="L11" i="9"/>
  <c r="K11" i="9"/>
  <c r="I11" i="9"/>
  <c r="H11" i="9"/>
  <c r="G11" i="9"/>
  <c r="F11" i="9"/>
  <c r="D11" i="9"/>
  <c r="O11" i="12" l="1"/>
  <c r="N11" i="12"/>
  <c r="M11" i="12"/>
  <c r="L11" i="12"/>
  <c r="K11" i="12"/>
  <c r="I11" i="12"/>
  <c r="H11" i="12"/>
  <c r="G11" i="12"/>
  <c r="F11" i="12"/>
  <c r="D11" i="12"/>
  <c r="O10" i="11"/>
  <c r="N10" i="11"/>
  <c r="M10" i="11"/>
  <c r="L10" i="11"/>
  <c r="K10" i="11"/>
  <c r="H10" i="11"/>
  <c r="F10" i="11"/>
  <c r="E10" i="11"/>
  <c r="D10" i="11"/>
  <c r="D9" i="10"/>
  <c r="E9" i="10"/>
  <c r="F9" i="10"/>
  <c r="H9" i="10"/>
  <c r="K9" i="10"/>
  <c r="L9" i="10"/>
  <c r="M9" i="10"/>
  <c r="N9" i="10"/>
  <c r="O9" i="10"/>
  <c r="D8" i="10"/>
  <c r="E8" i="10"/>
  <c r="F8" i="10"/>
  <c r="H8" i="10"/>
  <c r="I8" i="10"/>
  <c r="K8" i="10"/>
  <c r="L8" i="10"/>
  <c r="M8" i="10"/>
  <c r="N8" i="10"/>
  <c r="O8" i="10"/>
  <c r="D11" i="10"/>
  <c r="F11" i="10"/>
  <c r="G11" i="10"/>
  <c r="H11" i="10"/>
  <c r="I11" i="10"/>
  <c r="K11" i="10"/>
  <c r="L11" i="10"/>
  <c r="M11" i="10"/>
  <c r="N11" i="10"/>
  <c r="O11" i="10"/>
  <c r="D9" i="7"/>
  <c r="E9" i="7"/>
  <c r="F9" i="7"/>
  <c r="G9" i="7"/>
  <c r="H9" i="7"/>
  <c r="I9" i="7"/>
  <c r="J9" i="7"/>
  <c r="K9" i="7"/>
  <c r="L9" i="7"/>
  <c r="M9" i="7"/>
  <c r="N9" i="7"/>
  <c r="O9" i="7"/>
  <c r="O11" i="5"/>
  <c r="N11" i="5"/>
  <c r="M11" i="5"/>
  <c r="L11" i="5"/>
  <c r="K11" i="5"/>
  <c r="I11" i="5"/>
  <c r="H11" i="5"/>
  <c r="G11" i="5"/>
  <c r="F11" i="5"/>
  <c r="D11" i="5"/>
  <c r="E14" i="10" l="1"/>
  <c r="G14" i="10"/>
  <c r="F14" i="10"/>
  <c r="D14" i="10"/>
  <c r="H37" i="15"/>
  <c r="G37" i="15"/>
  <c r="F37" i="15"/>
  <c r="E37" i="15"/>
  <c r="G48" i="10"/>
  <c r="G48" i="13"/>
  <c r="F27" i="15"/>
  <c r="F14" i="15"/>
  <c r="F13" i="15" l="1"/>
  <c r="G13" i="15"/>
  <c r="G48" i="11"/>
  <c r="G34" i="11"/>
  <c r="O11" i="11"/>
  <c r="N11" i="11"/>
  <c r="M11" i="11"/>
  <c r="L11" i="11"/>
  <c r="K11" i="11"/>
  <c r="I11" i="11"/>
  <c r="H11" i="11"/>
  <c r="G11" i="11"/>
  <c r="F11" i="11"/>
  <c r="D11" i="11"/>
  <c r="G46" i="6"/>
  <c r="G48" i="8"/>
  <c r="O11" i="7"/>
  <c r="N11" i="7"/>
  <c r="M11" i="7"/>
  <c r="L11" i="7"/>
  <c r="K11" i="7"/>
  <c r="I11" i="7"/>
  <c r="H11" i="7"/>
  <c r="G11" i="7"/>
  <c r="F11" i="7"/>
  <c r="D11" i="7"/>
  <c r="G48" i="7"/>
  <c r="F32" i="15" l="1"/>
  <c r="F31" i="15"/>
  <c r="F30" i="15"/>
  <c r="F29" i="15"/>
  <c r="F28" i="15"/>
  <c r="G26" i="15"/>
  <c r="F26" i="15"/>
  <c r="F25" i="15"/>
  <c r="F24" i="15"/>
  <c r="F23" i="15"/>
  <c r="G22" i="15"/>
  <c r="F22" i="15"/>
  <c r="G21" i="15"/>
  <c r="F21" i="15"/>
  <c r="G20" i="15"/>
  <c r="F20" i="15"/>
  <c r="G19" i="15"/>
  <c r="F19" i="15"/>
  <c r="G17" i="15"/>
  <c r="F17" i="15"/>
  <c r="G16" i="15"/>
  <c r="F16" i="15"/>
  <c r="G15" i="15"/>
  <c r="F15" i="15"/>
  <c r="G12" i="15"/>
  <c r="F12" i="15"/>
  <c r="G11" i="15"/>
  <c r="F11" i="15"/>
  <c r="G10" i="15"/>
  <c r="F10" i="15"/>
  <c r="F9" i="15"/>
  <c r="F8" i="15"/>
  <c r="H29" i="10"/>
  <c r="G29" i="10"/>
  <c r="F7" i="15"/>
  <c r="G6" i="15"/>
  <c r="F6" i="15"/>
  <c r="O11" i="8"/>
  <c r="N11" i="8"/>
  <c r="M11" i="8"/>
  <c r="L11" i="8"/>
  <c r="K11" i="8"/>
  <c r="I11" i="8"/>
  <c r="H11" i="8"/>
  <c r="G11" i="8"/>
  <c r="F11" i="8"/>
  <c r="D11" i="8"/>
  <c r="G46" i="7"/>
  <c r="H45" i="7"/>
  <c r="G45" i="7"/>
  <c r="G40" i="7"/>
  <c r="H37" i="7"/>
  <c r="G37" i="7"/>
  <c r="H33" i="7"/>
  <c r="G33" i="7"/>
  <c r="H32" i="7"/>
  <c r="G32" i="7"/>
  <c r="G28" i="7"/>
  <c r="G27" i="7"/>
  <c r="H32" i="14"/>
  <c r="G32" i="14"/>
  <c r="H37" i="14"/>
  <c r="G37" i="14"/>
  <c r="H36" i="12"/>
  <c r="G36" i="12"/>
  <c r="H36" i="11"/>
  <c r="G36" i="11"/>
  <c r="H36" i="9"/>
  <c r="G36" i="9"/>
  <c r="H36" i="8"/>
  <c r="G36" i="8"/>
  <c r="G39" i="5"/>
  <c r="G42" i="5"/>
  <c r="G44" i="5"/>
  <c r="G48" i="14"/>
  <c r="G45" i="14"/>
  <c r="H40" i="14"/>
  <c r="G40" i="14"/>
  <c r="H31" i="14"/>
  <c r="G31" i="14"/>
  <c r="G46" i="13"/>
  <c r="G40" i="13"/>
  <c r="G33" i="13"/>
  <c r="H32" i="13"/>
  <c r="G32" i="13"/>
  <c r="G29" i="13"/>
  <c r="G27" i="13"/>
  <c r="O12" i="13"/>
  <c r="N12" i="13"/>
  <c r="M12" i="13"/>
  <c r="L12" i="13"/>
  <c r="K12" i="13"/>
  <c r="I12" i="13"/>
  <c r="H12" i="13"/>
  <c r="G12" i="13"/>
  <c r="F12" i="13"/>
  <c r="D12" i="13"/>
  <c r="G48" i="12"/>
  <c r="H32" i="12"/>
  <c r="G32" i="12"/>
  <c r="G29" i="12"/>
  <c r="G28" i="12"/>
  <c r="G27" i="12"/>
  <c r="G47" i="11"/>
  <c r="G45" i="11"/>
  <c r="H40" i="11"/>
  <c r="G40" i="11"/>
  <c r="H33" i="11"/>
  <c r="G33" i="11"/>
  <c r="H32" i="11"/>
  <c r="G32" i="11"/>
  <c r="G28" i="11"/>
  <c r="G46" i="10"/>
  <c r="G45" i="10"/>
  <c r="G33" i="10"/>
  <c r="H32" i="10"/>
  <c r="G32" i="10"/>
  <c r="G31" i="10"/>
  <c r="G28" i="10"/>
  <c r="G27" i="10"/>
  <c r="G48" i="9"/>
  <c r="H45" i="9"/>
  <c r="G45" i="9"/>
  <c r="G40" i="9"/>
  <c r="H32" i="9"/>
  <c r="G32" i="9"/>
  <c r="H31" i="9"/>
  <c r="G31" i="9"/>
  <c r="G29" i="9"/>
  <c r="H28" i="9"/>
  <c r="G28" i="9"/>
  <c r="G27" i="9"/>
  <c r="G46" i="8"/>
  <c r="G45" i="8"/>
  <c r="H40" i="8"/>
  <c r="G40" i="8"/>
  <c r="G33" i="8"/>
  <c r="H32" i="8"/>
  <c r="G32" i="8"/>
  <c r="G29" i="8"/>
  <c r="G28" i="8"/>
  <c r="G27" i="8"/>
  <c r="O8" i="8"/>
  <c r="N8" i="8"/>
  <c r="M8" i="8"/>
  <c r="L8" i="8"/>
  <c r="K8" i="8"/>
  <c r="I8" i="8"/>
  <c r="H8" i="8"/>
  <c r="F8" i="8"/>
  <c r="E8" i="8"/>
  <c r="D8" i="8"/>
  <c r="G51" i="6"/>
  <c r="G44" i="6"/>
  <c r="G43" i="6"/>
  <c r="H38" i="6"/>
  <c r="G38" i="6"/>
  <c r="G32" i="6"/>
  <c r="H31" i="6"/>
  <c r="G31" i="6"/>
  <c r="H30" i="6"/>
  <c r="G30" i="6"/>
  <c r="H27" i="6"/>
  <c r="G27" i="6"/>
  <c r="H39" i="5"/>
  <c r="H35" i="5"/>
  <c r="G35" i="5"/>
  <c r="H32" i="5"/>
  <c r="G32" i="5"/>
  <c r="H31" i="5"/>
  <c r="G31" i="5"/>
  <c r="G28" i="5"/>
  <c r="H27" i="5" l="1"/>
  <c r="G27" i="5"/>
  <c r="G26" i="5"/>
  <c r="O8" i="5" l="1"/>
  <c r="N8" i="5"/>
  <c r="M8" i="5"/>
  <c r="L8" i="5"/>
  <c r="K8" i="5"/>
  <c r="I8" i="5"/>
  <c r="H8" i="5"/>
  <c r="F8" i="5"/>
  <c r="E8" i="5"/>
  <c r="D8" i="5"/>
  <c r="D8" i="9" l="1"/>
  <c r="E8" i="9"/>
  <c r="L8" i="9"/>
  <c r="O9" i="13" l="1"/>
  <c r="N9" i="13"/>
  <c r="M9" i="13"/>
  <c r="L9" i="13"/>
  <c r="K9" i="13"/>
  <c r="J9" i="13"/>
  <c r="I9" i="13"/>
  <c r="H9" i="13"/>
  <c r="G9" i="13"/>
  <c r="F9" i="13"/>
  <c r="E9" i="13"/>
  <c r="L8" i="13"/>
  <c r="E8" i="13"/>
  <c r="E14" i="13" s="1"/>
  <c r="D8" i="13"/>
  <c r="O8" i="13"/>
  <c r="N8" i="13"/>
  <c r="M8" i="13"/>
  <c r="K8" i="13"/>
  <c r="I8" i="13"/>
  <c r="H8" i="13"/>
  <c r="F8" i="13"/>
  <c r="G14" i="11"/>
  <c r="F14" i="11"/>
  <c r="E14" i="11"/>
  <c r="D14" i="11"/>
  <c r="O10" i="14"/>
  <c r="N10" i="14"/>
  <c r="M10" i="14"/>
  <c r="L10" i="14"/>
  <c r="K10" i="14"/>
  <c r="I10" i="14"/>
  <c r="H10" i="14"/>
  <c r="F10" i="14"/>
  <c r="E10" i="14"/>
  <c r="D10" i="14"/>
  <c r="O10" i="9"/>
  <c r="N10" i="9"/>
  <c r="M10" i="9"/>
  <c r="L10" i="9"/>
  <c r="K10" i="9"/>
  <c r="I10" i="9"/>
  <c r="H10" i="9"/>
  <c r="G14" i="9"/>
  <c r="F10" i="9"/>
  <c r="F14" i="9" s="1"/>
  <c r="E10" i="9"/>
  <c r="D10" i="9"/>
  <c r="F14" i="14" l="1"/>
  <c r="D14" i="14"/>
  <c r="E14" i="14"/>
  <c r="F14" i="13"/>
  <c r="G20" i="10"/>
  <c r="H20" i="10"/>
  <c r="F20" i="10"/>
  <c r="G20" i="9"/>
  <c r="H20" i="9"/>
  <c r="I20" i="9"/>
  <c r="D14" i="9"/>
  <c r="J20" i="9"/>
  <c r="E14" i="9"/>
  <c r="O9" i="12"/>
  <c r="N9" i="12"/>
  <c r="M9" i="12"/>
  <c r="L9" i="12"/>
  <c r="K9" i="12"/>
  <c r="H9" i="12"/>
  <c r="F9" i="12"/>
  <c r="E9" i="12"/>
  <c r="D9" i="12"/>
  <c r="O9" i="8"/>
  <c r="N9" i="8"/>
  <c r="M9" i="8"/>
  <c r="L9" i="8"/>
  <c r="K9" i="8"/>
  <c r="H9" i="8"/>
  <c r="F9" i="8"/>
  <c r="F14" i="8" s="1"/>
  <c r="E9" i="8"/>
  <c r="E14" i="8" s="1"/>
  <c r="D9" i="8"/>
  <c r="D14" i="13"/>
  <c r="G14" i="12" l="1"/>
  <c r="D14" i="8"/>
  <c r="O10" i="6"/>
  <c r="N10" i="6"/>
  <c r="M10" i="6"/>
  <c r="L10" i="6"/>
  <c r="K10" i="6"/>
  <c r="I10" i="6"/>
  <c r="H10" i="6"/>
  <c r="F10" i="6"/>
  <c r="E10" i="6"/>
  <c r="D10" i="6"/>
  <c r="O8" i="12"/>
  <c r="N8" i="12"/>
  <c r="M8" i="12"/>
  <c r="L8" i="12"/>
  <c r="K8" i="12"/>
  <c r="I8" i="12"/>
  <c r="H8" i="12"/>
  <c r="F8" i="12"/>
  <c r="E8" i="12"/>
  <c r="D8" i="12"/>
  <c r="L8" i="6"/>
  <c r="E8" i="6"/>
  <c r="D8" i="6"/>
  <c r="O8" i="6"/>
  <c r="N8" i="6"/>
  <c r="M8" i="6"/>
  <c r="K8" i="6"/>
  <c r="I8" i="6"/>
  <c r="H8" i="6"/>
  <c r="F8" i="6"/>
  <c r="O9" i="5"/>
  <c r="N9" i="5"/>
  <c r="M9" i="5"/>
  <c r="L9" i="5"/>
  <c r="K9" i="5"/>
  <c r="H9" i="5"/>
  <c r="F9" i="5"/>
  <c r="E9" i="5"/>
  <c r="D9" i="5"/>
  <c r="I20" i="13" l="1"/>
  <c r="H20" i="13"/>
  <c r="G20" i="13"/>
  <c r="F14" i="12"/>
  <c r="D14" i="12"/>
  <c r="E14" i="12"/>
  <c r="H20" i="11"/>
  <c r="I20" i="11"/>
  <c r="F20" i="11"/>
  <c r="F20" i="8"/>
  <c r="G20" i="8"/>
  <c r="H20" i="8"/>
  <c r="I20" i="8"/>
  <c r="G20" i="7"/>
  <c r="E14" i="7"/>
  <c r="I20" i="7"/>
  <c r="F20" i="7"/>
  <c r="D14" i="7"/>
  <c r="H20" i="7"/>
  <c r="F14" i="7"/>
  <c r="D13" i="6"/>
  <c r="F19" i="6"/>
  <c r="H19" i="6"/>
  <c r="F13" i="6"/>
  <c r="E13" i="6"/>
  <c r="G19" i="6"/>
  <c r="I19" i="6"/>
  <c r="D14" i="5"/>
  <c r="F20" i="5"/>
  <c r="G20" i="5"/>
  <c r="E14" i="5"/>
  <c r="F14" i="5"/>
  <c r="H20" i="5"/>
  <c r="G14" i="5"/>
  <c r="I20" i="5"/>
  <c r="I20" i="10"/>
  <c r="F20" i="14"/>
  <c r="H20" i="12"/>
  <c r="I20" i="12"/>
  <c r="F20" i="13"/>
  <c r="G20" i="14"/>
  <c r="H20" i="14"/>
  <c r="I20" i="14"/>
  <c r="G20" i="11"/>
</calcChain>
</file>

<file path=xl/comments1.xml><?xml version="1.0" encoding="utf-8"?>
<comments xmlns="http://schemas.openxmlformats.org/spreadsheetml/2006/main">
  <authors>
    <author>Анастасия Мухина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<sst xmlns="http://schemas.openxmlformats.org/spreadsheetml/2006/main" count="1073" uniqueCount="128">
  <si>
    <t>Энергетическая ценность (ккал)</t>
  </si>
  <si>
    <t>Б</t>
  </si>
  <si>
    <t>Ж</t>
  </si>
  <si>
    <t>У</t>
  </si>
  <si>
    <t>С</t>
  </si>
  <si>
    <t>А</t>
  </si>
  <si>
    <t>Е</t>
  </si>
  <si>
    <t>Са</t>
  </si>
  <si>
    <t>Р</t>
  </si>
  <si>
    <t>Мg</t>
  </si>
  <si>
    <t>Fe</t>
  </si>
  <si>
    <t>ИТОГО:</t>
  </si>
  <si>
    <t>Макароны отварные с маслом</t>
  </si>
  <si>
    <t>Пюре картофельное</t>
  </si>
  <si>
    <t>Хлеб ржано-пшеничный</t>
  </si>
  <si>
    <t>ИТОГО за день:</t>
  </si>
  <si>
    <t>Рис отварной</t>
  </si>
  <si>
    <t>Каша гречневая рассыпчатая</t>
  </si>
  <si>
    <r>
      <t>В</t>
    </r>
    <r>
      <rPr>
        <b/>
        <sz val="8"/>
        <color theme="1"/>
        <rFont val="Calibri"/>
        <family val="2"/>
        <charset val="204"/>
        <scheme val="minor"/>
      </rPr>
      <t>1</t>
    </r>
  </si>
  <si>
    <t>Приём пищи, наименование блюда</t>
  </si>
  <si>
    <t>Обед</t>
  </si>
  <si>
    <t>Масса порции</t>
  </si>
  <si>
    <t xml:space="preserve">МЕНЮ </t>
  </si>
  <si>
    <t>В соответствии нормативов Учреждения Российской Академии Медицинских Наук Научно-исследовательский</t>
  </si>
  <si>
    <t>институт питания РАМН, 2011</t>
  </si>
  <si>
    <t>Разработано государственным бюджетным профессиональным образовательным учреждением «Тверской колледж</t>
  </si>
  <si>
    <t>№ рец.</t>
  </si>
  <si>
    <t>Минеральные вещества (мг.)</t>
  </si>
  <si>
    <t>Витамины (мг.)</t>
  </si>
  <si>
    <t>Пищевые вещества (г.)</t>
  </si>
  <si>
    <t>сервиса и туризма».</t>
  </si>
  <si>
    <t xml:space="preserve"> Обед</t>
  </si>
  <si>
    <t xml:space="preserve">День: </t>
  </si>
  <si>
    <t>понедельник</t>
  </si>
  <si>
    <t xml:space="preserve">Неделя: </t>
  </si>
  <si>
    <t>первая</t>
  </si>
  <si>
    <t xml:space="preserve">Сезон: </t>
  </si>
  <si>
    <t>осенне-зимний</t>
  </si>
  <si>
    <t xml:space="preserve">Возрастная категория: </t>
  </si>
  <si>
    <t>7-11 лет</t>
  </si>
  <si>
    <t>вторник</t>
  </si>
  <si>
    <t>среда</t>
  </si>
  <si>
    <t>четверг</t>
  </si>
  <si>
    <t>пятница</t>
  </si>
  <si>
    <t>В1</t>
  </si>
  <si>
    <t>Средние показания на день</t>
  </si>
  <si>
    <t>пищевые вещества</t>
  </si>
  <si>
    <t>энергет. ценн. ккал</t>
  </si>
  <si>
    <t>По меню</t>
  </si>
  <si>
    <t>Потребность по СаН ПиН (60-70%)</t>
  </si>
  <si>
    <t>46,2-53,9</t>
  </si>
  <si>
    <t>47,4-55,3</t>
  </si>
  <si>
    <t>201-234,5</t>
  </si>
  <si>
    <t>1410-1645</t>
  </si>
  <si>
    <t>По меню среднее за 10 дней</t>
  </si>
  <si>
    <t>вторая</t>
  </si>
  <si>
    <t>Наименование продуктов</t>
  </si>
  <si>
    <t>Количество продуктов в зависимости от возраста обучающихся</t>
  </si>
  <si>
    <t>в г, мл, брутто</t>
  </si>
  <si>
    <t>в г, мл, нетто</t>
  </si>
  <si>
    <t>Хлеб ржаной (ржано-пшеничный)</t>
  </si>
  <si>
    <t>Хлеб пшеничный</t>
  </si>
  <si>
    <t>Мука пшеничная</t>
  </si>
  <si>
    <t>Крупы, бобовые</t>
  </si>
  <si>
    <t>Макаронные изделия</t>
  </si>
  <si>
    <t>Картофель</t>
  </si>
  <si>
    <t>250 &lt;*&gt;</t>
  </si>
  <si>
    <t>Овощи свежие, зелень</t>
  </si>
  <si>
    <t>280 &lt;**&gt;</t>
  </si>
  <si>
    <t>Фрукты (плоды) свежие</t>
  </si>
  <si>
    <t>185 &lt;**&gt;</t>
  </si>
  <si>
    <t>Фрукты (плоды) сухие, в т.ч. шиповник</t>
  </si>
  <si>
    <t>Соки плодоовощные, напитки витаминизированные, в т.ч. инстантные</t>
  </si>
  <si>
    <t>Мясо жилованное (мясо на кости) 1 кат.</t>
  </si>
  <si>
    <t>77 (95)</t>
  </si>
  <si>
    <t>Цыплята 1 категории потрошеные (куры 1 кат. п/п)</t>
  </si>
  <si>
    <t>40 (51)</t>
  </si>
  <si>
    <t>Рыба-филе</t>
  </si>
  <si>
    <t>Колбасные изделия</t>
  </si>
  <si>
    <t>Молоко (массовая доля жира 2,5%, 3,2%)</t>
  </si>
  <si>
    <t>Кисломолочные продукты (массовая доля жира 2,5%, 3,2%)</t>
  </si>
  <si>
    <t>Творог (массовая доля жира не более 9%)</t>
  </si>
  <si>
    <t>Сыр</t>
  </si>
  <si>
    <t>Сметана (массовая доля жира не более 15%)</t>
  </si>
  <si>
    <t>Масло сливочное</t>
  </si>
  <si>
    <t>Масло растительное</t>
  </si>
  <si>
    <t>Яйцо диетическое</t>
  </si>
  <si>
    <t>1 шт.</t>
  </si>
  <si>
    <t>Сахар &lt;***&gt;</t>
  </si>
  <si>
    <t>Кондитерские изделия</t>
  </si>
  <si>
    <t>Чай</t>
  </si>
  <si>
    <t>Какао</t>
  </si>
  <si>
    <t>Дрожжи хлебопекарные</t>
  </si>
  <si>
    <t>Соль</t>
  </si>
  <si>
    <t>Рекомендуемые среднесуточные наборы пищевых продуктов, в том числе используемые для приготовления блюд и напитков, для обучающихся общеобразовательных учреждений</t>
  </si>
  <si>
    <t>Средняя за 10 дней</t>
  </si>
  <si>
    <r>
      <t>В</t>
    </r>
    <r>
      <rPr>
        <sz val="8"/>
        <color theme="1"/>
        <rFont val="Calibri"/>
        <family val="2"/>
        <charset val="204"/>
        <scheme val="minor"/>
      </rPr>
      <t>1</t>
    </r>
  </si>
  <si>
    <t>Капуста тушеная</t>
  </si>
  <si>
    <t>УТВЕРЖДАЮ                                                                 Директор                                                МБОУ Славнинской СОШ ________________А.Н. Филина</t>
  </si>
  <si>
    <t>МБОУ СЛАВНИНСКОЙ СОШ</t>
  </si>
  <si>
    <t>Напаиток из сока</t>
  </si>
  <si>
    <t>Борщ с капустой и картофелем на курином бульоне</t>
  </si>
  <si>
    <t>Суп картофельный с фасолью на курином бульоне</t>
  </si>
  <si>
    <t>Щи из свежей капусты с картофелем на курином бульоне</t>
  </si>
  <si>
    <t>103.88</t>
  </si>
  <si>
    <t>Суп картофельный с горохом на курином бульоне</t>
  </si>
  <si>
    <t xml:space="preserve">Котлета, рубленная из птицы </t>
  </si>
  <si>
    <t>Тверской области в соответствии требованиям СанПиН 2.4.5.2409-08</t>
  </si>
  <si>
    <t>«Санитарно-эпидемиологические требования к организации питания обучающихся</t>
  </si>
  <si>
    <t>в общеобразовательных учреждениях,учереждениях начального и среднего профессионального</t>
  </si>
  <si>
    <t>образования,СанПиН 2.3/2.4.3590-20 Санитарно-эпидемиологические требования</t>
  </si>
  <si>
    <t xml:space="preserve">к организации общественного питания населения» и </t>
  </si>
  <si>
    <t>МР 2.4.0179-20«Организация питания детей дошкольного и школьного возраста в организованных коллективах».</t>
  </si>
  <si>
    <t>(1-х разового питания на 10 дней)</t>
  </si>
  <si>
    <t>дляобучающихся 5-11х классов категории от 12 и старше лет общеобразовательных организаций</t>
  </si>
  <si>
    <t>12 и старше</t>
  </si>
  <si>
    <t>700-900</t>
  </si>
  <si>
    <t xml:space="preserve">                        Сборник технических нормативов-Сборник рецептур блюд и кулинарных изделий для питания</t>
  </si>
  <si>
    <t xml:space="preserve">                                                школьников/Под ред, М.П.Могильного -М,:ДеЛи принт, 2005,-628с.</t>
  </si>
  <si>
    <t>Рассольник петербургский с крупой пшеничной на курином бульоне</t>
  </si>
  <si>
    <t>Сосиска отварная</t>
  </si>
  <si>
    <t>Жаркое по домашнему</t>
  </si>
  <si>
    <t xml:space="preserve">Тефтели мясные </t>
  </si>
  <si>
    <t>Гуляш из курицы</t>
  </si>
  <si>
    <t>Котлеты рыбные</t>
  </si>
  <si>
    <t>Суп крестьянский с крупой (пшеной) на курином бульоне</t>
  </si>
  <si>
    <t>Котлета мясная</t>
  </si>
  <si>
    <t>Рассольник ленинградский с крупой пшеничной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</si>
</sst>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25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45454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ont="1"/>
    <xf numFmtId="0" fontId="10" fillId="0" borderId="0" xfId="0" applyFont="1" applyAlignment="1">
      <alignment horizontal="justify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0" xfId="0" applyAlignment="1">
      <alignment wrapText="1"/>
    </xf>
    <xf numFmtId="0" fontId="16" fillId="0" borderId="0" xfId="0" applyFont="1" applyAlignment="1">
      <alignment horizontal="justify" vertic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43" fontId="7" fillId="0" borderId="1" xfId="1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" fillId="0" borderId="0" xfId="0" applyFont="1" applyBorder="1" applyProtection="1">
      <protection hidden="1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/>
    <xf numFmtId="0" fontId="2" fillId="0" borderId="0" xfId="0" applyFont="1" applyFill="1" applyProtection="1">
      <protection hidden="1"/>
    </xf>
    <xf numFmtId="43" fontId="7" fillId="0" borderId="0" xfId="1" applyFont="1" applyFill="1" applyBorder="1" applyAlignment="1" applyProtection="1">
      <alignment horizontal="center" vertical="top" wrapText="1"/>
      <protection hidden="1"/>
    </xf>
    <xf numFmtId="43" fontId="2" fillId="0" borderId="1" xfId="0" applyNumberFormat="1" applyFont="1" applyBorder="1" applyAlignment="1" applyProtection="1">
      <alignment vertical="top" wrapText="1"/>
      <protection hidden="1"/>
    </xf>
    <xf numFmtId="0" fontId="5" fillId="3" borderId="2" xfId="0" applyFont="1" applyFill="1" applyBorder="1" applyAlignment="1" applyProtection="1">
      <alignment vertical="top" wrapText="1"/>
      <protection hidden="1"/>
    </xf>
    <xf numFmtId="0" fontId="5" fillId="3" borderId="3" xfId="0" applyFont="1" applyFill="1" applyBorder="1" applyAlignment="1" applyProtection="1">
      <alignment vertical="top" wrapText="1"/>
      <protection hidden="1"/>
    </xf>
    <xf numFmtId="43" fontId="5" fillId="3" borderId="3" xfId="0" applyNumberFormat="1" applyFont="1" applyFill="1" applyBorder="1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43" fontId="7" fillId="0" borderId="0" xfId="1" applyFont="1" applyBorder="1" applyAlignment="1" applyProtection="1">
      <alignment vertical="center" wrapText="1"/>
      <protection hidden="1"/>
    </xf>
    <xf numFmtId="2" fontId="19" fillId="0" borderId="12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43" fontId="7" fillId="0" borderId="0" xfId="1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top" wrapText="1"/>
      <protection hidden="1"/>
    </xf>
    <xf numFmtId="43" fontId="0" fillId="0" borderId="0" xfId="0" applyNumberFormat="1"/>
    <xf numFmtId="0" fontId="8" fillId="0" borderId="2" xfId="0" applyFont="1" applyFill="1" applyBorder="1" applyAlignment="1" applyProtection="1">
      <alignment vertical="top" wrapText="1"/>
      <protection hidden="1"/>
    </xf>
    <xf numFmtId="0" fontId="0" fillId="0" borderId="0" xfId="0" applyFill="1" applyBorder="1"/>
    <xf numFmtId="0" fontId="2" fillId="0" borderId="0" xfId="0" applyFont="1" applyFill="1" applyBorder="1" applyProtection="1">
      <protection hidden="1"/>
    </xf>
    <xf numFmtId="0" fontId="8" fillId="0" borderId="3" xfId="0" applyFont="1" applyFill="1" applyBorder="1" applyAlignment="1" applyProtection="1">
      <alignment vertical="top" wrapText="1"/>
      <protection hidden="1"/>
    </xf>
    <xf numFmtId="0" fontId="8" fillId="0" borderId="4" xfId="0" applyFont="1" applyFill="1" applyBorder="1" applyAlignment="1" applyProtection="1">
      <alignment vertical="top" wrapText="1"/>
      <protection hidden="1"/>
    </xf>
    <xf numFmtId="43" fontId="5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wrapText="1"/>
    </xf>
    <xf numFmtId="0" fontId="24" fillId="0" borderId="0" xfId="0" applyFont="1"/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43" fontId="29" fillId="0" borderId="1" xfId="1" applyFont="1" applyBorder="1" applyAlignment="1" applyProtection="1">
      <alignment vertical="center" wrapText="1"/>
      <protection hidden="1"/>
    </xf>
    <xf numFmtId="0" fontId="24" fillId="0" borderId="0" xfId="0" applyFont="1" applyFill="1"/>
    <xf numFmtId="0" fontId="30" fillId="0" borderId="1" xfId="0" applyFont="1" applyBorder="1" applyAlignment="1" applyProtection="1">
      <alignment vertical="top" wrapText="1"/>
      <protection hidden="1"/>
    </xf>
    <xf numFmtId="0" fontId="31" fillId="3" borderId="1" xfId="0" applyFont="1" applyFill="1" applyBorder="1" applyAlignment="1" applyProtection="1">
      <alignment vertical="top" wrapText="1"/>
      <protection hidden="1"/>
    </xf>
    <xf numFmtId="43" fontId="31" fillId="3" borderId="3" xfId="0" applyNumberFormat="1" applyFont="1" applyFill="1" applyBorder="1" applyAlignment="1" applyProtection="1">
      <alignment vertical="top" wrapText="1"/>
      <protection hidden="1"/>
    </xf>
    <xf numFmtId="43" fontId="31" fillId="3" borderId="1" xfId="0" applyNumberFormat="1" applyFont="1" applyFill="1" applyBorder="1" applyAlignment="1" applyProtection="1">
      <alignment horizontal="justify" vertical="center" wrapText="1"/>
      <protection hidden="1"/>
    </xf>
    <xf numFmtId="2" fontId="33" fillId="0" borderId="12" xfId="0" applyNumberFormat="1" applyFont="1" applyBorder="1" applyAlignment="1">
      <alignment horizontal="center" vertical="center" wrapText="1"/>
    </xf>
    <xf numFmtId="2" fontId="33" fillId="0" borderId="12" xfId="0" applyNumberFormat="1" applyFont="1" applyBorder="1" applyAlignment="1">
      <alignment horizontal="center" vertical="center"/>
    </xf>
    <xf numFmtId="2" fontId="33" fillId="0" borderId="15" xfId="0" applyNumberFormat="1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/>
    </xf>
    <xf numFmtId="0" fontId="36" fillId="0" borderId="0" xfId="0" applyFont="1"/>
    <xf numFmtId="0" fontId="37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left" vertical="top" wrapText="1"/>
    </xf>
    <xf numFmtId="2" fontId="38" fillId="0" borderId="1" xfId="0" applyNumberFormat="1" applyFont="1" applyBorder="1"/>
    <xf numFmtId="0" fontId="37" fillId="5" borderId="1" xfId="0" applyFont="1" applyFill="1" applyBorder="1" applyAlignment="1">
      <alignment horizontal="left" vertical="top" wrapText="1"/>
    </xf>
    <xf numFmtId="2" fontId="38" fillId="5" borderId="1" xfId="0" applyNumberFormat="1" applyFont="1" applyFill="1" applyBorder="1"/>
    <xf numFmtId="0" fontId="36" fillId="5" borderId="0" xfId="0" applyFont="1" applyFill="1"/>
    <xf numFmtId="0" fontId="36" fillId="7" borderId="0" xfId="0" applyFont="1" applyFill="1"/>
    <xf numFmtId="2" fontId="38" fillId="0" borderId="1" xfId="0" applyNumberFormat="1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24" fillId="0" borderId="0" xfId="0" applyNumberFormat="1" applyFont="1"/>
    <xf numFmtId="0" fontId="28" fillId="0" borderId="1" xfId="0" applyNumberFormat="1" applyFont="1" applyBorder="1" applyAlignment="1" applyProtection="1">
      <alignment horizontal="center" vertical="top" wrapText="1"/>
      <protection hidden="1"/>
    </xf>
    <xf numFmtId="0" fontId="28" fillId="5" borderId="1" xfId="0" applyNumberFormat="1" applyFont="1" applyFill="1" applyBorder="1" applyAlignment="1" applyProtection="1">
      <alignment horizontal="center" vertical="top" wrapText="1"/>
      <protection hidden="1"/>
    </xf>
    <xf numFmtId="0" fontId="30" fillId="0" borderId="1" xfId="0" applyNumberFormat="1" applyFont="1" applyBorder="1" applyAlignment="1" applyProtection="1">
      <alignment vertical="top" wrapText="1"/>
      <protection hidden="1"/>
    </xf>
    <xf numFmtId="0" fontId="24" fillId="0" borderId="0" xfId="0" applyNumberFormat="1" applyFont="1" applyBorder="1"/>
    <xf numFmtId="0" fontId="0" fillId="0" borderId="0" xfId="0" applyBorder="1" applyAlignment="1">
      <alignment wrapText="1"/>
    </xf>
    <xf numFmtId="0" fontId="5" fillId="0" borderId="0" xfId="0" applyFont="1" applyFill="1" applyBorder="1" applyAlignment="1" applyProtection="1">
      <alignment horizontal="justify" vertical="top" wrapText="1"/>
      <protection hidden="1"/>
    </xf>
    <xf numFmtId="2" fontId="2" fillId="0" borderId="1" xfId="0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5" fillId="8" borderId="1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top" wrapText="1"/>
      <protection hidden="1"/>
    </xf>
    <xf numFmtId="43" fontId="2" fillId="8" borderId="1" xfId="0" applyNumberFormat="1" applyFont="1" applyFill="1" applyBorder="1" applyAlignment="1" applyProtection="1">
      <alignment vertical="top" wrapText="1"/>
      <protection hidden="1"/>
    </xf>
    <xf numFmtId="43" fontId="5" fillId="8" borderId="1" xfId="0" applyNumberFormat="1" applyFont="1" applyFill="1" applyBorder="1" applyAlignment="1" applyProtection="1">
      <alignment vertical="top" wrapText="1"/>
      <protection hidden="1"/>
    </xf>
    <xf numFmtId="0" fontId="31" fillId="8" borderId="2" xfId="0" applyFont="1" applyFill="1" applyBorder="1" applyAlignment="1" applyProtection="1">
      <alignment vertical="top" wrapText="1"/>
      <protection hidden="1"/>
    </xf>
    <xf numFmtId="0" fontId="24" fillId="8" borderId="3" xfId="0" applyFont="1" applyFill="1" applyBorder="1" applyAlignment="1" applyProtection="1">
      <protection hidden="1"/>
    </xf>
    <xf numFmtId="0" fontId="24" fillId="8" borderId="3" xfId="0" applyNumberFormat="1" applyFont="1" applyFill="1" applyBorder="1" applyAlignment="1" applyProtection="1">
      <protection hidden="1"/>
    </xf>
    <xf numFmtId="43" fontId="29" fillId="8" borderId="3" xfId="0" applyNumberFormat="1" applyFont="1" applyFill="1" applyBorder="1" applyAlignment="1" applyProtection="1">
      <protection hidden="1"/>
    </xf>
    <xf numFmtId="43" fontId="24" fillId="8" borderId="3" xfId="0" applyNumberFormat="1" applyFont="1" applyFill="1" applyBorder="1" applyAlignment="1" applyProtection="1">
      <protection hidden="1"/>
    </xf>
    <xf numFmtId="43" fontId="5" fillId="8" borderId="1" xfId="0" applyNumberFormat="1" applyFont="1" applyFill="1" applyBorder="1" applyAlignment="1" applyProtection="1">
      <alignment horizontal="justify" vertical="center" wrapText="1"/>
      <protection hidden="1"/>
    </xf>
    <xf numFmtId="0" fontId="2" fillId="8" borderId="1" xfId="0" applyFont="1" applyFill="1" applyBorder="1" applyAlignment="1" applyProtection="1">
      <alignment horizontal="justify" vertical="center" wrapText="1"/>
      <protection hidden="1"/>
    </xf>
    <xf numFmtId="0" fontId="5" fillId="8" borderId="1" xfId="0" applyFont="1" applyFill="1" applyBorder="1" applyAlignment="1" applyProtection="1">
      <alignment horizontal="justify" vertical="center" wrapText="1"/>
      <protection hidden="1"/>
    </xf>
    <xf numFmtId="43" fontId="5" fillId="8" borderId="3" xfId="0" applyNumberFormat="1" applyFont="1" applyFill="1" applyBorder="1" applyAlignment="1" applyProtection="1">
      <alignment vertical="top" wrapText="1"/>
      <protection hidden="1"/>
    </xf>
    <xf numFmtId="0" fontId="5" fillId="8" borderId="1" xfId="0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5" fillId="8" borderId="2" xfId="0" applyFont="1" applyFill="1" applyBorder="1" applyAlignment="1" applyProtection="1">
      <alignment vertical="top" wrapText="1"/>
      <protection hidden="1"/>
    </xf>
    <xf numFmtId="0" fontId="5" fillId="8" borderId="3" xfId="0" applyFont="1" applyFill="1" applyBorder="1" applyAlignment="1" applyProtection="1">
      <alignment vertical="top" wrapText="1"/>
      <protection hidden="1"/>
    </xf>
    <xf numFmtId="0" fontId="5" fillId="8" borderId="4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Alignment="1">
      <alignment horizontal="justify"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top" wrapText="1"/>
    </xf>
    <xf numFmtId="2" fontId="38" fillId="0" borderId="1" xfId="0" applyNumberFormat="1" applyFont="1" applyFill="1" applyBorder="1"/>
    <xf numFmtId="2" fontId="2" fillId="0" borderId="1" xfId="0" applyNumberFormat="1" applyFont="1" applyFill="1" applyBorder="1"/>
    <xf numFmtId="2" fontId="38" fillId="0" borderId="1" xfId="0" applyNumberFormat="1" applyFont="1" applyFill="1" applyBorder="1" applyAlignment="1">
      <alignment horizontal="center"/>
    </xf>
    <xf numFmtId="0" fontId="0" fillId="8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0" fillId="7" borderId="0" xfId="0" applyFill="1"/>
    <xf numFmtId="0" fontId="6" fillId="5" borderId="1" xfId="0" applyFont="1" applyFill="1" applyBorder="1" applyAlignment="1" applyProtection="1">
      <alignment vertical="top" wrapText="1"/>
      <protection hidden="1"/>
    </xf>
    <xf numFmtId="0" fontId="6" fillId="5" borderId="1" xfId="0" applyFont="1" applyFill="1" applyBorder="1" applyAlignment="1" applyProtection="1">
      <alignment horizontal="center" vertical="top" wrapText="1"/>
      <protection hidden="1"/>
    </xf>
    <xf numFmtId="43" fontId="7" fillId="5" borderId="1" xfId="1" applyFont="1" applyFill="1" applyBorder="1" applyAlignment="1" applyProtection="1">
      <alignment vertical="center" wrapText="1"/>
      <protection hidden="1"/>
    </xf>
    <xf numFmtId="0" fontId="0" fillId="5" borderId="0" xfId="0" applyFill="1"/>
    <xf numFmtId="0" fontId="13" fillId="0" borderId="0" xfId="0" applyFont="1" applyAlignment="1">
      <alignment horizontal="center"/>
    </xf>
    <xf numFmtId="2" fontId="5" fillId="8" borderId="1" xfId="0" applyNumberFormat="1" applyFont="1" applyFill="1" applyBorder="1" applyAlignment="1" applyProtection="1">
      <alignment vertical="top" wrapText="1"/>
      <protection hidden="1"/>
    </xf>
    <xf numFmtId="0" fontId="42" fillId="0" borderId="0" xfId="0" applyFont="1"/>
    <xf numFmtId="0" fontId="15" fillId="0" borderId="0" xfId="0" applyFont="1" applyAlignment="1"/>
    <xf numFmtId="0" fontId="33" fillId="0" borderId="12" xfId="0" applyNumberFormat="1" applyFont="1" applyBorder="1" applyAlignment="1">
      <alignment horizontal="center" vertical="center"/>
    </xf>
    <xf numFmtId="0" fontId="34" fillId="0" borderId="12" xfId="0" applyNumberFormat="1" applyFont="1" applyBorder="1" applyAlignment="1">
      <alignment horizontal="center" vertical="center"/>
    </xf>
    <xf numFmtId="0" fontId="37" fillId="4" borderId="1" xfId="0" applyNumberFormat="1" applyFont="1" applyFill="1" applyBorder="1" applyAlignment="1">
      <alignment vertical="center" wrapText="1"/>
    </xf>
    <xf numFmtId="0" fontId="38" fillId="0" borderId="1" xfId="0" applyNumberFormat="1" applyFont="1" applyBorder="1"/>
    <xf numFmtId="0" fontId="38" fillId="5" borderId="1" xfId="0" applyNumberFormat="1" applyFont="1" applyFill="1" applyBorder="1"/>
    <xf numFmtId="0" fontId="38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4" fillId="0" borderId="0" xfId="0" applyNumberFormat="1" applyFont="1" applyBorder="1" applyAlignment="1">
      <alignment horizontal="center"/>
    </xf>
    <xf numFmtId="2" fontId="29" fillId="0" borderId="1" xfId="1" applyNumberFormat="1" applyFont="1" applyBorder="1" applyAlignment="1" applyProtection="1">
      <alignment vertical="center" wrapText="1"/>
      <protection hidden="1"/>
    </xf>
    <xf numFmtId="2" fontId="7" fillId="0" borderId="1" xfId="1" applyNumberFormat="1" applyFont="1" applyFill="1" applyBorder="1" applyAlignment="1" applyProtection="1">
      <alignment vertical="center" wrapText="1"/>
      <protection hidden="1"/>
    </xf>
    <xf numFmtId="2" fontId="29" fillId="8" borderId="3" xfId="0" applyNumberFormat="1" applyFont="1" applyFill="1" applyBorder="1" applyAlignment="1" applyProtection="1">
      <protection hidden="1"/>
    </xf>
    <xf numFmtId="2" fontId="31" fillId="3" borderId="3" xfId="0" applyNumberFormat="1" applyFont="1" applyFill="1" applyBorder="1" applyAlignment="1" applyProtection="1">
      <alignment vertical="top" wrapText="1"/>
      <protection hidden="1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41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top" wrapText="1"/>
      <protection hidden="1"/>
    </xf>
    <xf numFmtId="0" fontId="5" fillId="0" borderId="4" xfId="0" applyFont="1" applyFill="1" applyBorder="1" applyAlignment="1" applyProtection="1">
      <alignment horizontal="center" vertical="top" wrapText="1"/>
      <protection hidden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18" fillId="6" borderId="7" xfId="0" applyNumberFormat="1" applyFont="1" applyFill="1" applyBorder="1" applyAlignment="1">
      <alignment horizontal="center" vertical="center" wrapText="1"/>
    </xf>
    <xf numFmtId="49" fontId="18" fillId="6" borderId="8" xfId="0" applyNumberFormat="1" applyFont="1" applyFill="1" applyBorder="1" applyAlignment="1">
      <alignment horizontal="center" vertical="center" wrapText="1"/>
    </xf>
    <xf numFmtId="49" fontId="18" fillId="6" borderId="13" xfId="0" applyNumberFormat="1" applyFont="1" applyFill="1" applyBorder="1" applyAlignment="1">
      <alignment horizontal="center" vertical="center" wrapText="1"/>
    </xf>
    <xf numFmtId="49" fontId="18" fillId="6" borderId="14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49" fontId="18" fillId="6" borderId="16" xfId="0" applyNumberFormat="1" applyFont="1" applyFill="1" applyBorder="1" applyAlignment="1">
      <alignment horizontal="center" vertical="center" wrapText="1"/>
    </xf>
    <xf numFmtId="49" fontId="18" fillId="6" borderId="1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7" fillId="4" borderId="2" xfId="0" applyFont="1" applyFill="1" applyBorder="1" applyAlignment="1">
      <alignment horizontal="center" vertical="top" wrapText="1"/>
    </xf>
    <xf numFmtId="0" fontId="37" fillId="4" borderId="4" xfId="0" applyFont="1" applyFill="1" applyBorder="1" applyAlignment="1">
      <alignment horizontal="center" vertical="top" wrapText="1"/>
    </xf>
    <xf numFmtId="0" fontId="37" fillId="5" borderId="2" xfId="0" applyFont="1" applyFill="1" applyBorder="1" applyAlignment="1">
      <alignment horizontal="center" vertical="top" wrapText="1"/>
    </xf>
    <xf numFmtId="0" fontId="37" fillId="5" borderId="4" xfId="0" applyFont="1" applyFill="1" applyBorder="1" applyAlignment="1">
      <alignment horizontal="center" vertical="top" wrapText="1"/>
    </xf>
    <xf numFmtId="0" fontId="37" fillId="4" borderId="2" xfId="0" applyFont="1" applyFill="1" applyBorder="1" applyAlignment="1">
      <alignment horizontal="center" vertical="top"/>
    </xf>
    <xf numFmtId="0" fontId="37" fillId="4" borderId="4" xfId="0" applyFont="1" applyFill="1" applyBorder="1" applyAlignment="1">
      <alignment horizontal="center" vertical="top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3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25" fillId="2" borderId="5" xfId="0" applyFont="1" applyFill="1" applyBorder="1" applyAlignment="1" applyProtection="1">
      <alignment horizontal="center" vertical="center" wrapText="1"/>
      <protection hidden="1"/>
    </xf>
    <xf numFmtId="0" fontId="25" fillId="2" borderId="6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vertical="center" wrapText="1"/>
      <protection hidden="1"/>
    </xf>
    <xf numFmtId="0" fontId="2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0" applyNumberFormat="1" applyFont="1" applyBorder="1" applyAlignment="1" applyProtection="1">
      <alignment horizontal="center" vertical="center" wrapText="1"/>
      <protection hidden="1"/>
    </xf>
    <xf numFmtId="0" fontId="25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32" fillId="6" borderId="7" xfId="0" applyNumberFormat="1" applyFont="1" applyFill="1" applyBorder="1" applyAlignment="1">
      <alignment horizontal="center" vertical="center" wrapText="1"/>
    </xf>
    <xf numFmtId="49" fontId="32" fillId="6" borderId="8" xfId="0" applyNumberFormat="1" applyFont="1" applyFill="1" applyBorder="1" applyAlignment="1">
      <alignment horizontal="center" vertical="center" wrapText="1"/>
    </xf>
    <xf numFmtId="49" fontId="32" fillId="6" borderId="13" xfId="0" applyNumberFormat="1" applyFont="1" applyFill="1" applyBorder="1" applyAlignment="1">
      <alignment horizontal="center" vertical="center" wrapText="1"/>
    </xf>
    <xf numFmtId="49" fontId="32" fillId="6" borderId="14" xfId="0" applyNumberFormat="1" applyFont="1" applyFill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49" fontId="32" fillId="6" borderId="16" xfId="0" applyNumberFormat="1" applyFont="1" applyFill="1" applyBorder="1" applyAlignment="1">
      <alignment horizontal="center" vertical="center" wrapText="1"/>
    </xf>
    <xf numFmtId="49" fontId="32" fillId="6" borderId="17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37" fillId="0" borderId="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/>
    </xf>
    <xf numFmtId="0" fontId="37" fillId="0" borderId="4" xfId="0" applyFont="1" applyFill="1" applyBorder="1" applyAlignment="1">
      <alignment horizontal="center" vertical="top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22"/>
  <sheetViews>
    <sheetView view="pageBreakPreview" zoomScale="70" zoomScaleNormal="70" zoomScaleSheetLayoutView="70" workbookViewId="0">
      <selection activeCell="A16" sqref="A16"/>
    </sheetView>
  </sheetViews>
  <sheetFormatPr defaultColWidth="8.88671875" defaultRowHeight="14.4" x14ac:dyDescent="0.3"/>
  <cols>
    <col min="1" max="1" width="8.88671875" style="1"/>
    <col min="2" max="2" width="39.5546875" style="1" customWidth="1"/>
    <col min="3" max="6" width="8.88671875" style="1"/>
    <col min="7" max="7" width="12.6640625" style="1" bestFit="1" customWidth="1"/>
    <col min="8" max="16384" width="8.88671875" style="1"/>
  </cols>
  <sheetData>
    <row r="1" spans="1:15" x14ac:dyDescent="0.3">
      <c r="A1" s="147"/>
      <c r="B1" s="148"/>
      <c r="K1" s="149" t="s">
        <v>98</v>
      </c>
      <c r="L1" s="149"/>
      <c r="M1" s="149"/>
      <c r="N1" s="149"/>
      <c r="O1" s="149"/>
    </row>
    <row r="2" spans="1:15" x14ac:dyDescent="0.3">
      <c r="A2" s="148"/>
      <c r="B2" s="148"/>
      <c r="K2" s="149"/>
      <c r="L2" s="149"/>
      <c r="M2" s="149"/>
      <c r="N2" s="149"/>
      <c r="O2" s="149"/>
    </row>
    <row r="3" spans="1:15" ht="65.25" customHeight="1" x14ac:dyDescent="0.3">
      <c r="A3" s="148"/>
      <c r="B3" s="148"/>
      <c r="K3" s="149"/>
      <c r="L3" s="149"/>
      <c r="M3" s="149"/>
      <c r="N3" s="149"/>
      <c r="O3" s="149"/>
    </row>
    <row r="4" spans="1:15" ht="32.4" x14ac:dyDescent="0.6">
      <c r="A4" s="152" t="s">
        <v>22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ht="32.4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2.4" x14ac:dyDescent="0.6">
      <c r="A6" s="152" t="s">
        <v>113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22.8" x14ac:dyDescent="0.4">
      <c r="C7" s="154" t="s">
        <v>99</v>
      </c>
      <c r="D7" s="154"/>
      <c r="E7" s="154"/>
      <c r="F7" s="154"/>
      <c r="G7" s="154"/>
      <c r="H7" s="154"/>
      <c r="I7" s="154"/>
      <c r="J7" s="154"/>
    </row>
    <row r="8" spans="1:15" ht="21" x14ac:dyDescent="0.4">
      <c r="A8" s="145" t="s">
        <v>114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ht="21" x14ac:dyDescent="0.4">
      <c r="A9" s="145" t="s">
        <v>107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1:15" ht="21" x14ac:dyDescent="0.4">
      <c r="A10" s="145" t="s">
        <v>108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ht="21" x14ac:dyDescent="0.4">
      <c r="A11" s="145" t="s">
        <v>109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5" ht="21" x14ac:dyDescent="0.4">
      <c r="A12" s="145" t="s">
        <v>110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5" ht="21" x14ac:dyDescent="0.4">
      <c r="A13" s="145" t="s">
        <v>111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5" ht="21" x14ac:dyDescent="0.4">
      <c r="A14" s="129"/>
      <c r="B14" s="131" t="s">
        <v>112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1" x14ac:dyDescent="0.4">
      <c r="A15" s="132" t="s">
        <v>117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1:15" ht="21" x14ac:dyDescent="0.4">
      <c r="A16" s="132" t="s">
        <v>118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spans="1:15" ht="21" x14ac:dyDescent="0.4">
      <c r="A17" s="150" t="s">
        <v>23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18" spans="1:15" ht="21" x14ac:dyDescent="0.4">
      <c r="A18" s="150" t="s">
        <v>24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</row>
    <row r="19" spans="1:15" ht="21" x14ac:dyDescent="0.4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x14ac:dyDescent="0.4">
      <c r="A20" s="150" t="s">
        <v>25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5" ht="21" x14ac:dyDescent="0.4">
      <c r="A21" s="150" t="s">
        <v>30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spans="1:15" ht="18" x14ac:dyDescent="0.35">
      <c r="A22" s="2"/>
    </row>
  </sheetData>
  <sheetProtection selectLockedCells="1" selectUnlockedCells="1"/>
  <mergeCells count="15">
    <mergeCell ref="A21:O21"/>
    <mergeCell ref="A11:O11"/>
    <mergeCell ref="A12:O12"/>
    <mergeCell ref="A17:O17"/>
    <mergeCell ref="A18:O18"/>
    <mergeCell ref="A9:O9"/>
    <mergeCell ref="A1:B3"/>
    <mergeCell ref="K1:O3"/>
    <mergeCell ref="A20:O20"/>
    <mergeCell ref="A10:O10"/>
    <mergeCell ref="A4:O4"/>
    <mergeCell ref="A6:O6"/>
    <mergeCell ref="A8:O8"/>
    <mergeCell ref="C7:J7"/>
    <mergeCell ref="A13:O13"/>
  </mergeCells>
  <printOptions horizontalCentered="1" verticalCentered="1"/>
  <pageMargins left="0.25" right="0.25" top="0.75" bottom="0.75" header="0.3" footer="0.3"/>
  <pageSetup paperSize="9" scale="78" fitToHeight="6" orientation="landscape" r:id="rId1"/>
  <headerFooter differentFirst="1">
    <oddFooter>&amp;CМухина Анастасия Викторовна, ГБПОУ "Тверской колледж сервиса и туризма"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64"/>
  <sheetViews>
    <sheetView view="pageBreakPreview" zoomScale="80" zoomScaleNormal="100" zoomScaleSheetLayoutView="80" workbookViewId="0">
      <selection activeCell="B14" sqref="B14"/>
    </sheetView>
  </sheetViews>
  <sheetFormatPr defaultColWidth="9.109375" defaultRowHeight="13.8" x14ac:dyDescent="0.3"/>
  <cols>
    <col min="1" max="1" width="14.6640625" style="19" customWidth="1"/>
    <col min="2" max="2" width="32" style="19" bestFit="1" customWidth="1"/>
    <col min="3" max="3" width="9.33203125" style="19" bestFit="1" customWidth="1"/>
    <col min="4" max="4" width="11.33203125" style="19" bestFit="1" customWidth="1"/>
    <col min="5" max="6" width="9.33203125" style="19" bestFit="1" customWidth="1"/>
    <col min="7" max="7" width="12.6640625" style="19" customWidth="1"/>
    <col min="8" max="8" width="10.88671875" style="19" customWidth="1"/>
    <col min="9" max="9" width="10.6640625" style="19" customWidth="1"/>
    <col min="10" max="10" width="9.33203125" style="19" bestFit="1" customWidth="1"/>
    <col min="11" max="11" width="11.33203125" style="19" customWidth="1"/>
    <col min="12" max="12" width="12.33203125" style="19" customWidth="1"/>
    <col min="13" max="13" width="10.44140625" style="19" bestFit="1" customWidth="1"/>
    <col min="14" max="15" width="9.33203125" style="19" bestFit="1" customWidth="1"/>
    <col min="16" max="16384" width="9.109375" style="19"/>
  </cols>
  <sheetData>
    <row r="1" spans="1:15" x14ac:dyDescent="0.3">
      <c r="A1" s="17" t="s">
        <v>32</v>
      </c>
      <c r="B1" s="18" t="s">
        <v>33</v>
      </c>
    </row>
    <row r="2" spans="1:15" x14ac:dyDescent="0.3">
      <c r="A2" s="17" t="s">
        <v>34</v>
      </c>
      <c r="B2" s="18" t="s">
        <v>35</v>
      </c>
    </row>
    <row r="3" spans="1:15" x14ac:dyDescent="0.3">
      <c r="A3" s="17" t="s">
        <v>36</v>
      </c>
      <c r="B3" s="18" t="s">
        <v>37</v>
      </c>
    </row>
    <row r="4" spans="1:15" ht="26.4" x14ac:dyDescent="0.3">
      <c r="A4" s="17" t="s">
        <v>38</v>
      </c>
      <c r="B4" s="18" t="s">
        <v>115</v>
      </c>
    </row>
    <row r="5" spans="1:15" ht="15.75" customHeight="1" x14ac:dyDescent="0.3">
      <c r="A5" s="155" t="s">
        <v>26</v>
      </c>
      <c r="B5" s="155" t="s">
        <v>19</v>
      </c>
      <c r="C5" s="155" t="s">
        <v>21</v>
      </c>
      <c r="D5" s="176" t="s">
        <v>29</v>
      </c>
      <c r="E5" s="177"/>
      <c r="F5" s="178"/>
      <c r="G5" s="155" t="s">
        <v>0</v>
      </c>
      <c r="H5" s="176" t="s">
        <v>28</v>
      </c>
      <c r="I5" s="177"/>
      <c r="J5" s="177"/>
      <c r="K5" s="178"/>
      <c r="L5" s="176" t="s">
        <v>27</v>
      </c>
      <c r="M5" s="177"/>
      <c r="N5" s="177"/>
      <c r="O5" s="178"/>
    </row>
    <row r="6" spans="1:15" ht="24" customHeight="1" x14ac:dyDescent="0.3">
      <c r="A6" s="156"/>
      <c r="B6" s="180"/>
      <c r="C6" s="179"/>
      <c r="D6" s="20" t="s">
        <v>1</v>
      </c>
      <c r="E6" s="20" t="s">
        <v>2</v>
      </c>
      <c r="F6" s="20" t="s">
        <v>3</v>
      </c>
      <c r="G6" s="156"/>
      <c r="H6" s="20" t="s">
        <v>44</v>
      </c>
      <c r="I6" s="20" t="s">
        <v>4</v>
      </c>
      <c r="J6" s="20" t="s">
        <v>5</v>
      </c>
      <c r="K6" s="20" t="s">
        <v>6</v>
      </c>
      <c r="L6" s="20" t="s">
        <v>7</v>
      </c>
      <c r="M6" s="20" t="s">
        <v>8</v>
      </c>
      <c r="N6" s="20" t="s">
        <v>9</v>
      </c>
      <c r="O6" s="20" t="s">
        <v>10</v>
      </c>
    </row>
    <row r="7" spans="1:15" s="21" customFormat="1" ht="15" customHeight="1" x14ac:dyDescent="0.3">
      <c r="A7" s="157" t="s">
        <v>20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1:15" s="12" customFormat="1" ht="39.75" customHeight="1" x14ac:dyDescent="0.3">
      <c r="A8" s="123">
        <v>197</v>
      </c>
      <c r="B8" s="8" t="s">
        <v>127</v>
      </c>
      <c r="C8" s="13">
        <v>300</v>
      </c>
      <c r="D8" s="14">
        <f>8.07/4+0.8</f>
        <v>2.8174999999999999</v>
      </c>
      <c r="E8" s="14">
        <f>(20.36/4)+0.2</f>
        <v>5.29</v>
      </c>
      <c r="F8" s="14">
        <f>47.92/4</f>
        <v>11.98</v>
      </c>
      <c r="G8" s="14">
        <v>165.25</v>
      </c>
      <c r="H8" s="14">
        <f>0.37/4</f>
        <v>9.2499999999999999E-2</v>
      </c>
      <c r="I8" s="14">
        <f>33.5/4</f>
        <v>8.375</v>
      </c>
      <c r="J8" s="14"/>
      <c r="K8" s="14">
        <f>9.4/4</f>
        <v>2.35</v>
      </c>
      <c r="L8" s="14">
        <f>116.6/4+2</f>
        <v>31.15</v>
      </c>
      <c r="M8" s="14">
        <f>226.9/4</f>
        <v>56.725000000000001</v>
      </c>
      <c r="N8" s="14">
        <f>96.7/4</f>
        <v>24.175000000000001</v>
      </c>
      <c r="O8" s="14">
        <f>3.7/4</f>
        <v>0.92500000000000004</v>
      </c>
    </row>
    <row r="9" spans="1:15" s="21" customFormat="1" x14ac:dyDescent="0.3">
      <c r="A9" s="123">
        <v>688</v>
      </c>
      <c r="B9" s="8" t="s">
        <v>12</v>
      </c>
      <c r="C9" s="13">
        <v>200</v>
      </c>
      <c r="D9" s="14">
        <f>36.78/100*15</f>
        <v>5.5170000000000003</v>
      </c>
      <c r="E9" s="14">
        <f>30.1/100*15</f>
        <v>4.5149999999999997</v>
      </c>
      <c r="F9" s="14">
        <f>176.3/100*15</f>
        <v>26.445</v>
      </c>
      <c r="G9" s="14">
        <v>191.45</v>
      </c>
      <c r="H9" s="14">
        <f>0.37/100*15</f>
        <v>5.5500000000000001E-2</v>
      </c>
      <c r="I9" s="14"/>
      <c r="J9" s="14"/>
      <c r="K9" s="14">
        <f>6.46/100*15</f>
        <v>0.96900000000000008</v>
      </c>
      <c r="L9" s="14">
        <f>32.4/100*15</f>
        <v>4.8600000000000003</v>
      </c>
      <c r="M9" s="14">
        <f>247.8/100*15</f>
        <v>37.17</v>
      </c>
      <c r="N9" s="14">
        <f>140.8/100*15</f>
        <v>21.12</v>
      </c>
      <c r="O9" s="14">
        <f>7.37/100*15</f>
        <v>1.1054999999999999</v>
      </c>
    </row>
    <row r="10" spans="1:15" s="12" customFormat="1" ht="14.4" x14ac:dyDescent="0.3">
      <c r="A10" s="123">
        <v>536</v>
      </c>
      <c r="B10" s="8" t="s">
        <v>120</v>
      </c>
      <c r="C10" s="123">
        <v>120</v>
      </c>
      <c r="D10" s="14">
        <v>8.18</v>
      </c>
      <c r="E10" s="14">
        <v>19.5</v>
      </c>
      <c r="F10" s="14">
        <v>1.74</v>
      </c>
      <c r="G10" s="14">
        <v>335.36</v>
      </c>
      <c r="H10" s="14">
        <v>0.05</v>
      </c>
      <c r="I10" s="14">
        <v>0.72</v>
      </c>
      <c r="J10" s="14">
        <v>33.92</v>
      </c>
      <c r="K10" s="14">
        <v>0.55000000000000004</v>
      </c>
      <c r="L10" s="14">
        <v>27.95</v>
      </c>
      <c r="M10" s="14">
        <v>88.37</v>
      </c>
      <c r="N10" s="14">
        <v>18.329999999999998</v>
      </c>
      <c r="O10" s="14">
        <v>0.87</v>
      </c>
    </row>
    <row r="11" spans="1:15" s="12" customFormat="1" ht="14.4" x14ac:dyDescent="0.3">
      <c r="A11" s="37">
        <v>1013</v>
      </c>
      <c r="B11" s="8" t="s">
        <v>100</v>
      </c>
      <c r="C11" s="84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15" s="21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s="12" customFormat="1" ht="14.4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21" customFormat="1" x14ac:dyDescent="0.3">
      <c r="A14" s="88" t="s">
        <v>11</v>
      </c>
      <c r="B14" s="89"/>
      <c r="C14" s="89"/>
      <c r="D14" s="91">
        <f>SUM(D8:D13)</f>
        <v>22.9145</v>
      </c>
      <c r="E14" s="91">
        <f>SUM(E8:E13)</f>
        <v>30.584999999999997</v>
      </c>
      <c r="F14" s="91">
        <f>SUM(F8:F13)</f>
        <v>99.444999999999993</v>
      </c>
      <c r="G14" s="91">
        <f>SUM(G8:G13)</f>
        <v>962.33999999999992</v>
      </c>
      <c r="H14" s="90"/>
      <c r="I14" s="90"/>
      <c r="J14" s="90"/>
      <c r="K14" s="90"/>
      <c r="L14" s="90"/>
      <c r="M14" s="90"/>
      <c r="N14" s="90"/>
      <c r="O14" s="90"/>
    </row>
    <row r="15" spans="1:15" x14ac:dyDescent="0.3">
      <c r="A15" s="25" t="s">
        <v>15</v>
      </c>
      <c r="B15" s="26"/>
      <c r="C15" s="26"/>
      <c r="D15" s="27">
        <v>22.56</v>
      </c>
      <c r="E15" s="27">
        <v>19.84</v>
      </c>
      <c r="F15" s="27">
        <v>107.96</v>
      </c>
      <c r="G15" s="27">
        <v>962.34</v>
      </c>
      <c r="H15" s="27"/>
      <c r="I15" s="27"/>
      <c r="J15" s="27"/>
      <c r="K15" s="27"/>
      <c r="L15" s="27"/>
      <c r="M15" s="27"/>
      <c r="N15" s="27"/>
      <c r="O15" s="27"/>
    </row>
    <row r="16" spans="1:15" ht="14.4" thickBot="1" x14ac:dyDescent="0.35"/>
    <row r="17" spans="2:15" ht="27" thickBot="1" x14ac:dyDescent="0.35"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  <c r="K17" s="17" t="s">
        <v>32</v>
      </c>
      <c r="L17" s="18" t="s">
        <v>33</v>
      </c>
    </row>
    <row r="18" spans="2:15" ht="14.4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  <c r="K18" s="17" t="s">
        <v>34</v>
      </c>
      <c r="L18" s="18" t="s">
        <v>35</v>
      </c>
    </row>
    <row r="19" spans="2:15" ht="28.2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  <c r="K19" s="17" t="s">
        <v>36</v>
      </c>
      <c r="L19" s="18" t="s">
        <v>37</v>
      </c>
    </row>
    <row r="20" spans="2:15" ht="27" thickBot="1" x14ac:dyDescent="0.35">
      <c r="B20" s="174" t="s">
        <v>48</v>
      </c>
      <c r="C20" s="175"/>
      <c r="D20" s="175"/>
      <c r="E20" s="175"/>
      <c r="F20" s="33">
        <f>D15</f>
        <v>22.56</v>
      </c>
      <c r="G20" s="33">
        <f>E15</f>
        <v>19.84</v>
      </c>
      <c r="H20" s="33">
        <f>F15</f>
        <v>107.96</v>
      </c>
      <c r="I20" s="33">
        <f>G15</f>
        <v>962.34</v>
      </c>
      <c r="K20" s="17" t="s">
        <v>38</v>
      </c>
      <c r="L20" s="18" t="s">
        <v>115</v>
      </c>
    </row>
    <row r="21" spans="2:15" x14ac:dyDescent="0.3">
      <c r="O21" s="39"/>
    </row>
    <row r="22" spans="2:15" ht="28.5" customHeight="1" x14ac:dyDescent="0.3">
      <c r="B22" s="164" t="s">
        <v>94</v>
      </c>
      <c r="C22" s="164"/>
      <c r="D22" s="164"/>
      <c r="E22" s="164"/>
      <c r="F22" s="164"/>
      <c r="G22" s="164"/>
      <c r="H22" s="164"/>
      <c r="I22" s="40"/>
      <c r="J22" s="40"/>
      <c r="K22" s="40"/>
      <c r="L22" s="40"/>
      <c r="M22" s="40"/>
      <c r="N22" s="40"/>
      <c r="O22" s="40"/>
    </row>
    <row r="23" spans="2:15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</row>
    <row r="24" spans="2:15" ht="26.4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J24" s="41"/>
    </row>
    <row r="25" spans="2:15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</row>
    <row r="26" spans="2:15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f>40</f>
        <v>40</v>
      </c>
      <c r="H26" s="68">
        <v>40</v>
      </c>
    </row>
    <row r="27" spans="2:15" x14ac:dyDescent="0.3">
      <c r="B27" s="67" t="s">
        <v>61</v>
      </c>
      <c r="C27" s="181">
        <v>150</v>
      </c>
      <c r="D27" s="182"/>
      <c r="E27" s="181">
        <v>150</v>
      </c>
      <c r="F27" s="182"/>
      <c r="G27" s="68" t="e">
        <f>#REF!+C13</f>
        <v>#REF!</v>
      </c>
      <c r="H27" s="68">
        <f>70</f>
        <v>70</v>
      </c>
    </row>
    <row r="28" spans="2:15" x14ac:dyDescent="0.3">
      <c r="B28" s="69" t="s">
        <v>63</v>
      </c>
      <c r="C28" s="183">
        <v>45</v>
      </c>
      <c r="D28" s="184"/>
      <c r="E28" s="183">
        <v>45</v>
      </c>
      <c r="F28" s="184"/>
      <c r="G28" s="70">
        <f>44+5</f>
        <v>49</v>
      </c>
      <c r="H28" s="70">
        <v>49</v>
      </c>
    </row>
    <row r="29" spans="2:15" x14ac:dyDescent="0.3">
      <c r="B29" s="67" t="s">
        <v>64</v>
      </c>
      <c r="C29" s="181">
        <v>15</v>
      </c>
      <c r="D29" s="182"/>
      <c r="E29" s="181">
        <v>15</v>
      </c>
      <c r="F29" s="182"/>
      <c r="G29" s="68">
        <v>52.5</v>
      </c>
      <c r="H29" s="68">
        <v>52.5</v>
      </c>
    </row>
    <row r="30" spans="2:15" ht="12.75" customHeight="1" x14ac:dyDescent="0.3">
      <c r="B30" s="67" t="s">
        <v>65</v>
      </c>
      <c r="C30" s="181" t="s">
        <v>66</v>
      </c>
      <c r="D30" s="182"/>
      <c r="E30" s="185">
        <v>188</v>
      </c>
      <c r="F30" s="186"/>
      <c r="G30" s="68">
        <v>100</v>
      </c>
      <c r="H30" s="68">
        <v>75</v>
      </c>
    </row>
    <row r="31" spans="2:15" x14ac:dyDescent="0.3">
      <c r="B31" s="67" t="s">
        <v>67</v>
      </c>
      <c r="C31" s="181">
        <v>350</v>
      </c>
      <c r="D31" s="182"/>
      <c r="E31" s="181" t="s">
        <v>68</v>
      </c>
      <c r="F31" s="182"/>
      <c r="G31" s="68">
        <f>16.75+12.5+6+43.8+12+12+3+2.5+12.5</f>
        <v>121.05</v>
      </c>
      <c r="H31" s="83">
        <f>2+2+10+10+10.75+10+15+10</f>
        <v>69.75</v>
      </c>
    </row>
    <row r="32" spans="2:15" x14ac:dyDescent="0.3">
      <c r="B32" s="67" t="s">
        <v>69</v>
      </c>
      <c r="C32" s="181">
        <v>200</v>
      </c>
      <c r="D32" s="182"/>
      <c r="E32" s="181" t="s">
        <v>70</v>
      </c>
      <c r="F32" s="182"/>
      <c r="G32" s="68">
        <f>100+35.7</f>
        <v>135.69999999999999</v>
      </c>
      <c r="H32" s="68">
        <f>100+25</f>
        <v>125</v>
      </c>
    </row>
    <row r="33" spans="2:8" ht="26.4" x14ac:dyDescent="0.3">
      <c r="B33" s="67" t="s">
        <v>71</v>
      </c>
      <c r="C33" s="181">
        <v>15</v>
      </c>
      <c r="D33" s="182"/>
      <c r="E33" s="181">
        <v>15</v>
      </c>
      <c r="F33" s="182"/>
      <c r="G33" s="68">
        <v>20</v>
      </c>
      <c r="H33" s="68">
        <v>37</v>
      </c>
    </row>
    <row r="34" spans="2:8" ht="39.6" x14ac:dyDescent="0.3">
      <c r="B34" s="67" t="s">
        <v>72</v>
      </c>
      <c r="C34" s="181">
        <v>200</v>
      </c>
      <c r="D34" s="182"/>
      <c r="E34" s="181">
        <v>200</v>
      </c>
      <c r="F34" s="182"/>
      <c r="G34" s="68"/>
      <c r="H34" s="68"/>
    </row>
    <row r="35" spans="2:8" ht="26.4" x14ac:dyDescent="0.3">
      <c r="B35" s="67" t="s">
        <v>73</v>
      </c>
      <c r="C35" s="181" t="s">
        <v>74</v>
      </c>
      <c r="D35" s="182"/>
      <c r="E35" s="181">
        <v>70</v>
      </c>
      <c r="F35" s="182"/>
      <c r="G35" s="83">
        <f>150</f>
        <v>150</v>
      </c>
      <c r="H35" s="68">
        <f>81+25</f>
        <v>106</v>
      </c>
    </row>
    <row r="36" spans="2:8" ht="26.4" x14ac:dyDescent="0.3">
      <c r="B36" s="67" t="s">
        <v>75</v>
      </c>
      <c r="C36" s="181" t="s">
        <v>76</v>
      </c>
      <c r="D36" s="182"/>
      <c r="E36" s="181">
        <v>35</v>
      </c>
      <c r="F36" s="182"/>
      <c r="G36" s="68"/>
      <c r="H36" s="68"/>
    </row>
    <row r="37" spans="2:8" x14ac:dyDescent="0.3">
      <c r="B37" s="67" t="s">
        <v>77</v>
      </c>
      <c r="C37" s="181">
        <v>60</v>
      </c>
      <c r="D37" s="182"/>
      <c r="E37" s="181">
        <v>58</v>
      </c>
      <c r="F37" s="182"/>
      <c r="G37" s="68"/>
      <c r="H37" s="68"/>
    </row>
    <row r="38" spans="2:8" x14ac:dyDescent="0.3">
      <c r="B38" s="67" t="s">
        <v>78</v>
      </c>
      <c r="C38" s="181">
        <v>15</v>
      </c>
      <c r="D38" s="182"/>
      <c r="E38" s="181">
        <v>14.7</v>
      </c>
      <c r="F38" s="182"/>
      <c r="G38" s="68"/>
      <c r="H38" s="68"/>
    </row>
    <row r="39" spans="2:8" ht="26.4" x14ac:dyDescent="0.3">
      <c r="B39" s="67" t="s">
        <v>79</v>
      </c>
      <c r="C39" s="181">
        <v>300</v>
      </c>
      <c r="D39" s="182"/>
      <c r="E39" s="181">
        <v>300</v>
      </c>
      <c r="F39" s="182"/>
      <c r="G39" s="68">
        <f>211+100+100</f>
        <v>411</v>
      </c>
      <c r="H39" s="68">
        <f>200+100+100</f>
        <v>400</v>
      </c>
    </row>
    <row r="40" spans="2:8" x14ac:dyDescent="0.3">
      <c r="B40" s="67" t="s">
        <v>82</v>
      </c>
      <c r="C40" s="181">
        <v>10</v>
      </c>
      <c r="D40" s="182"/>
      <c r="E40" s="181">
        <v>9.8000000000000007</v>
      </c>
      <c r="F40" s="182"/>
      <c r="G40" s="68">
        <v>16</v>
      </c>
      <c r="H40" s="83">
        <v>15</v>
      </c>
    </row>
    <row r="41" spans="2:8" ht="26.4" x14ac:dyDescent="0.3">
      <c r="B41" s="67" t="s">
        <v>83</v>
      </c>
      <c r="C41" s="181">
        <v>10</v>
      </c>
      <c r="D41" s="182"/>
      <c r="E41" s="181">
        <v>10</v>
      </c>
      <c r="F41" s="182"/>
      <c r="G41" s="73"/>
      <c r="H41" s="73"/>
    </row>
    <row r="42" spans="2:8" x14ac:dyDescent="0.3">
      <c r="B42" s="67" t="s">
        <v>84</v>
      </c>
      <c r="C42" s="181">
        <v>30</v>
      </c>
      <c r="D42" s="182"/>
      <c r="E42" s="181">
        <v>30</v>
      </c>
      <c r="F42" s="182"/>
      <c r="G42" s="68">
        <f>4.5+5+10</f>
        <v>19.5</v>
      </c>
      <c r="H42" s="68">
        <v>19.5</v>
      </c>
    </row>
    <row r="43" spans="2:8" x14ac:dyDescent="0.3">
      <c r="B43" s="67" t="s">
        <v>85</v>
      </c>
      <c r="C43" s="181">
        <v>15</v>
      </c>
      <c r="D43" s="182"/>
      <c r="E43" s="181">
        <v>15</v>
      </c>
      <c r="F43" s="182"/>
      <c r="G43" s="68">
        <v>10</v>
      </c>
      <c r="H43" s="68">
        <v>10</v>
      </c>
    </row>
    <row r="44" spans="2:8" x14ac:dyDescent="0.3">
      <c r="B44" s="67" t="s">
        <v>88</v>
      </c>
      <c r="C44" s="181">
        <v>40</v>
      </c>
      <c r="D44" s="182"/>
      <c r="E44" s="185">
        <v>40</v>
      </c>
      <c r="F44" s="186"/>
      <c r="G44" s="83">
        <f>20+6</f>
        <v>26</v>
      </c>
      <c r="H44" s="68">
        <v>26</v>
      </c>
    </row>
    <row r="45" spans="2:8" x14ac:dyDescent="0.3">
      <c r="B45" s="67" t="s">
        <v>89</v>
      </c>
      <c r="C45" s="185">
        <v>100</v>
      </c>
      <c r="D45" s="186"/>
      <c r="E45" s="181">
        <v>100</v>
      </c>
      <c r="F45" s="182"/>
      <c r="G45" s="68">
        <v>100</v>
      </c>
      <c r="H45" s="68">
        <v>100</v>
      </c>
    </row>
    <row r="46" spans="2:8" x14ac:dyDescent="0.3">
      <c r="B46" s="67" t="s">
        <v>90</v>
      </c>
      <c r="C46" s="181">
        <v>1</v>
      </c>
      <c r="D46" s="182"/>
      <c r="E46" s="181">
        <v>1</v>
      </c>
      <c r="F46" s="182"/>
      <c r="G46" s="68"/>
      <c r="H46" s="68"/>
    </row>
    <row r="47" spans="2:8" x14ac:dyDescent="0.3">
      <c r="B47" s="67" t="s">
        <v>93</v>
      </c>
      <c r="C47" s="181">
        <v>5</v>
      </c>
      <c r="D47" s="182"/>
      <c r="E47" s="181">
        <v>5</v>
      </c>
      <c r="F47" s="182"/>
      <c r="G47" s="68">
        <v>5</v>
      </c>
      <c r="H47" s="68">
        <v>5</v>
      </c>
    </row>
    <row r="55" spans="2:6" ht="14.4" x14ac:dyDescent="0.3">
      <c r="B55"/>
      <c r="C55"/>
      <c r="D55"/>
      <c r="E55"/>
      <c r="F55"/>
    </row>
    <row r="56" spans="2:6" ht="14.4" x14ac:dyDescent="0.3">
      <c r="B56" s="40"/>
      <c r="C56"/>
      <c r="D56"/>
      <c r="E56"/>
      <c r="F56"/>
    </row>
    <row r="57" spans="2:6" ht="14.4" x14ac:dyDescent="0.3">
      <c r="B57"/>
      <c r="C57"/>
      <c r="D57"/>
      <c r="E57"/>
      <c r="F57"/>
    </row>
    <row r="58" spans="2:6" ht="14.4" x14ac:dyDescent="0.3">
      <c r="B58" s="40"/>
      <c r="C58"/>
      <c r="D58"/>
      <c r="E58"/>
      <c r="F58"/>
    </row>
    <row r="59" spans="2:6" ht="14.4" x14ac:dyDescent="0.3">
      <c r="B59"/>
      <c r="C59"/>
      <c r="D59"/>
      <c r="E59"/>
      <c r="F59"/>
    </row>
    <row r="60" spans="2:6" ht="14.4" x14ac:dyDescent="0.3">
      <c r="B60" s="40"/>
      <c r="C60"/>
      <c r="D60"/>
      <c r="E60"/>
      <c r="F60"/>
    </row>
    <row r="61" spans="2:6" ht="14.4" x14ac:dyDescent="0.3">
      <c r="B61"/>
      <c r="C61"/>
      <c r="D61"/>
      <c r="E61"/>
      <c r="F61"/>
    </row>
    <row r="62" spans="2:6" ht="14.4" x14ac:dyDescent="0.3">
      <c r="B62" s="40"/>
      <c r="C62"/>
      <c r="D62"/>
      <c r="E62"/>
      <c r="F62"/>
    </row>
    <row r="63" spans="2:6" ht="14.4" x14ac:dyDescent="0.3">
      <c r="B63"/>
      <c r="C63"/>
      <c r="D63"/>
      <c r="E63"/>
      <c r="F63"/>
    </row>
    <row r="64" spans="2:6" ht="14.4" x14ac:dyDescent="0.3">
      <c r="B64" s="40"/>
      <c r="C64"/>
      <c r="D64"/>
      <c r="E64"/>
      <c r="F64"/>
    </row>
  </sheetData>
  <sheetProtection formatCells="0" formatColumns="0" formatRows="0" insertColumns="0" insertRows="0" insertHyperlinks="0" deleteColumns="0" deleteRows="0" sort="0" autoFilter="0" pivotTables="0"/>
  <mergeCells count="64">
    <mergeCell ref="E34:F34"/>
    <mergeCell ref="E35:F35"/>
    <mergeCell ref="E36:F36"/>
    <mergeCell ref="E30:F30"/>
    <mergeCell ref="E47:F47"/>
    <mergeCell ref="E44:F44"/>
    <mergeCell ref="E37:F37"/>
    <mergeCell ref="E38:F38"/>
    <mergeCell ref="E39:F39"/>
    <mergeCell ref="E45:F45"/>
    <mergeCell ref="E46:F46"/>
    <mergeCell ref="E40:F40"/>
    <mergeCell ref="E41:F41"/>
    <mergeCell ref="E42:F42"/>
    <mergeCell ref="E43:F43"/>
    <mergeCell ref="E28:F28"/>
    <mergeCell ref="E29:F29"/>
    <mergeCell ref="E31:F31"/>
    <mergeCell ref="E32:F32"/>
    <mergeCell ref="E33:F33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H5:K5"/>
    <mergeCell ref="C5:C6"/>
    <mergeCell ref="B5:B6"/>
    <mergeCell ref="C26:D26"/>
    <mergeCell ref="C27:D27"/>
    <mergeCell ref="E25:F25"/>
    <mergeCell ref="E26:F26"/>
    <mergeCell ref="E27:F27"/>
    <mergeCell ref="A5:A6"/>
    <mergeCell ref="A7:O7"/>
    <mergeCell ref="C23:F23"/>
    <mergeCell ref="E24:F24"/>
    <mergeCell ref="B24:B25"/>
    <mergeCell ref="B22:H22"/>
    <mergeCell ref="G23:H23"/>
    <mergeCell ref="C25:D25"/>
    <mergeCell ref="C24:D24"/>
    <mergeCell ref="B17:E18"/>
    <mergeCell ref="F17:H17"/>
    <mergeCell ref="B19:E19"/>
    <mergeCell ref="B20:E20"/>
    <mergeCell ref="L5:O5"/>
    <mergeCell ref="G5:G6"/>
    <mergeCell ref="D5:F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" manualBreakCount="1">
    <brk id="1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57"/>
  <sheetViews>
    <sheetView view="pageBreakPreview" zoomScale="80" zoomScaleNormal="80" zoomScaleSheetLayoutView="80" workbookViewId="0">
      <selection activeCell="G13" sqref="G13"/>
    </sheetView>
  </sheetViews>
  <sheetFormatPr defaultColWidth="9.109375" defaultRowHeight="14.4" x14ac:dyDescent="0.3"/>
  <cols>
    <col min="1" max="1" width="13" style="53" customWidth="1"/>
    <col min="2" max="2" width="28.6640625" style="53" customWidth="1"/>
    <col min="3" max="3" width="15.6640625" style="76" bestFit="1" customWidth="1"/>
    <col min="4" max="5" width="9.109375" style="53"/>
    <col min="6" max="6" width="9.5546875" style="53" bestFit="1" customWidth="1"/>
    <col min="7" max="7" width="13" style="76" customWidth="1"/>
    <col min="8" max="8" width="9.109375" style="53"/>
    <col min="9" max="9" width="9.5546875" style="53" bestFit="1" customWidth="1"/>
    <col min="10" max="11" width="9.109375" style="53"/>
    <col min="12" max="14" width="9.5546875" style="53" bestFit="1" customWidth="1"/>
    <col min="15" max="16384" width="9.109375" style="53"/>
  </cols>
  <sheetData>
    <row r="1" spans="1:19" ht="15.6" x14ac:dyDescent="0.3">
      <c r="A1" s="51" t="s">
        <v>32</v>
      </c>
      <c r="B1" s="52" t="s">
        <v>40</v>
      </c>
    </row>
    <row r="2" spans="1:19" ht="15.6" x14ac:dyDescent="0.3">
      <c r="A2" s="51" t="s">
        <v>34</v>
      </c>
      <c r="B2" s="52" t="s">
        <v>35</v>
      </c>
    </row>
    <row r="3" spans="1:19" ht="15.6" x14ac:dyDescent="0.3">
      <c r="A3" s="51" t="s">
        <v>36</v>
      </c>
      <c r="B3" s="52" t="s">
        <v>37</v>
      </c>
    </row>
    <row r="4" spans="1:19" ht="31.2" x14ac:dyDescent="0.3">
      <c r="A4" s="51" t="s">
        <v>38</v>
      </c>
      <c r="B4" s="18" t="s">
        <v>115</v>
      </c>
    </row>
    <row r="5" spans="1:19" ht="15.6" x14ac:dyDescent="0.3">
      <c r="A5" s="190" t="s">
        <v>26</v>
      </c>
      <c r="B5" s="190" t="s">
        <v>19</v>
      </c>
      <c r="C5" s="193" t="s">
        <v>21</v>
      </c>
      <c r="D5" s="187" t="s">
        <v>29</v>
      </c>
      <c r="E5" s="188"/>
      <c r="F5" s="189"/>
      <c r="G5" s="193" t="s">
        <v>0</v>
      </c>
      <c r="H5" s="187" t="s">
        <v>28</v>
      </c>
      <c r="I5" s="188"/>
      <c r="J5" s="188"/>
      <c r="K5" s="189"/>
      <c r="L5" s="187" t="s">
        <v>27</v>
      </c>
      <c r="M5" s="188"/>
      <c r="N5" s="188"/>
      <c r="O5" s="189"/>
    </row>
    <row r="6" spans="1:19" ht="15.6" x14ac:dyDescent="0.3">
      <c r="A6" s="191"/>
      <c r="B6" s="192"/>
      <c r="C6" s="194"/>
      <c r="D6" s="54" t="s">
        <v>1</v>
      </c>
      <c r="E6" s="54" t="s">
        <v>2</v>
      </c>
      <c r="F6" s="54" t="s">
        <v>3</v>
      </c>
      <c r="G6" s="195"/>
      <c r="H6" s="54" t="s">
        <v>96</v>
      </c>
      <c r="I6" s="54" t="s">
        <v>4</v>
      </c>
      <c r="J6" s="54" t="s">
        <v>5</v>
      </c>
      <c r="K6" s="54" t="s">
        <v>6</v>
      </c>
      <c r="L6" s="54" t="s">
        <v>7</v>
      </c>
      <c r="M6" s="54" t="s">
        <v>8</v>
      </c>
      <c r="N6" s="54" t="s">
        <v>9</v>
      </c>
      <c r="O6" s="54" t="s">
        <v>10</v>
      </c>
    </row>
    <row r="7" spans="1:19" ht="18" x14ac:dyDescent="0.3">
      <c r="A7" s="205" t="s">
        <v>20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74"/>
      <c r="Q7" s="74"/>
      <c r="R7" s="74"/>
      <c r="S7" s="74"/>
    </row>
    <row r="8" spans="1:19" ht="43.5" customHeight="1" x14ac:dyDescent="0.3">
      <c r="A8" s="126">
        <v>170</v>
      </c>
      <c r="B8" s="125" t="s">
        <v>101</v>
      </c>
      <c r="C8" s="78">
        <v>300</v>
      </c>
      <c r="D8" s="55">
        <f>(7.21/4)+0.8</f>
        <v>2.6025</v>
      </c>
      <c r="E8" s="55">
        <f>(19.68/4)+0.2</f>
        <v>5.12</v>
      </c>
      <c r="F8" s="55">
        <f>43.73/4</f>
        <v>10.932499999999999</v>
      </c>
      <c r="G8" s="141">
        <v>161.75</v>
      </c>
      <c r="H8" s="55">
        <f>0.2/4</f>
        <v>0.05</v>
      </c>
      <c r="I8" s="55">
        <f>42.7/4</f>
        <v>10.675000000000001</v>
      </c>
      <c r="J8" s="55"/>
      <c r="K8" s="55">
        <f>9.6/4</f>
        <v>2.4</v>
      </c>
      <c r="L8" s="55">
        <f>(198.9/4)+2</f>
        <v>51.725000000000001</v>
      </c>
      <c r="M8" s="55">
        <f>218.4/4</f>
        <v>54.6</v>
      </c>
      <c r="N8" s="55">
        <f>104.5/4</f>
        <v>26.125</v>
      </c>
      <c r="O8" s="55">
        <f>4.9/4</f>
        <v>1.2250000000000001</v>
      </c>
    </row>
    <row r="9" spans="1:19" s="21" customFormat="1" ht="13.8" x14ac:dyDescent="0.3">
      <c r="A9" s="123">
        <v>590</v>
      </c>
      <c r="B9" s="8" t="s">
        <v>121</v>
      </c>
      <c r="C9" s="123">
        <v>300</v>
      </c>
      <c r="D9" s="14">
        <v>8.9</v>
      </c>
      <c r="E9" s="14">
        <v>4.9000000000000004</v>
      </c>
      <c r="F9" s="14">
        <v>10.8</v>
      </c>
      <c r="G9" s="142">
        <v>375</v>
      </c>
      <c r="H9" s="14">
        <v>0.1</v>
      </c>
      <c r="I9" s="14">
        <v>10.1</v>
      </c>
      <c r="J9" s="14">
        <v>0.02</v>
      </c>
      <c r="K9" s="14">
        <v>0.4</v>
      </c>
      <c r="L9" s="14">
        <v>19.8</v>
      </c>
      <c r="M9" s="14">
        <v>204.9</v>
      </c>
      <c r="N9" s="14">
        <v>39.6</v>
      </c>
      <c r="O9" s="14">
        <v>2.9</v>
      </c>
    </row>
    <row r="10" spans="1:19" x14ac:dyDescent="0.3">
      <c r="A10" s="37">
        <v>1013</v>
      </c>
      <c r="B10" s="8" t="s">
        <v>100</v>
      </c>
      <c r="C10" s="77">
        <v>200</v>
      </c>
      <c r="D10" s="55">
        <f>20.473/100*15</f>
        <v>3.0709499999999998</v>
      </c>
      <c r="E10" s="55">
        <f>32.01/100/15</f>
        <v>2.1340000000000001E-2</v>
      </c>
      <c r="F10" s="55">
        <f>136.26/100*15</f>
        <v>20.438999999999997</v>
      </c>
      <c r="G10" s="141">
        <v>160.25</v>
      </c>
      <c r="H10" s="55">
        <f>0.93/100*15</f>
        <v>0.13950000000000001</v>
      </c>
      <c r="I10" s="55">
        <f>121.07/100*15</f>
        <v>18.160499999999999</v>
      </c>
      <c r="J10" s="55"/>
      <c r="K10" s="55">
        <f>1.21/100*15</f>
        <v>0.18149999999999999</v>
      </c>
      <c r="L10" s="55">
        <f>246.5/100*15</f>
        <v>36.974999999999994</v>
      </c>
      <c r="M10" s="55">
        <f>577.3/100*15</f>
        <v>86.594999999999999</v>
      </c>
      <c r="N10" s="55">
        <f>185/100*15</f>
        <v>27.75</v>
      </c>
      <c r="O10" s="55">
        <f>6.73/100*15</f>
        <v>1.0095000000000001</v>
      </c>
    </row>
    <row r="11" spans="1:19" s="21" customFormat="1" ht="13.8" x14ac:dyDescent="0.3">
      <c r="A11" s="42"/>
      <c r="B11" s="8" t="s">
        <v>61</v>
      </c>
      <c r="C11" s="87">
        <v>50</v>
      </c>
      <c r="D11" s="14">
        <v>2.2400000000000002</v>
      </c>
      <c r="E11" s="14">
        <v>0.88</v>
      </c>
      <c r="F11" s="14">
        <v>19.760000000000002</v>
      </c>
      <c r="G11" s="142">
        <v>95.96</v>
      </c>
      <c r="H11" s="14">
        <v>0.04</v>
      </c>
      <c r="I11" s="14"/>
      <c r="J11" s="14"/>
      <c r="K11" s="14">
        <v>0.36</v>
      </c>
      <c r="L11" s="14">
        <v>9.1999999999999993</v>
      </c>
      <c r="M11" s="14">
        <v>42.4</v>
      </c>
      <c r="N11" s="14">
        <v>10</v>
      </c>
      <c r="O11" s="14">
        <v>1.24</v>
      </c>
    </row>
    <row r="12" spans="1:19" s="12" customFormat="1" x14ac:dyDescent="0.3">
      <c r="A12" s="42"/>
      <c r="B12" s="8" t="s">
        <v>61</v>
      </c>
      <c r="C12" s="87">
        <v>50</v>
      </c>
      <c r="D12" s="14">
        <v>3.16</v>
      </c>
      <c r="E12" s="14">
        <v>0.4</v>
      </c>
      <c r="F12" s="14">
        <v>19.32</v>
      </c>
      <c r="G12" s="142">
        <v>97.52</v>
      </c>
      <c r="H12" s="14">
        <v>0.04</v>
      </c>
      <c r="I12" s="14"/>
      <c r="J12" s="14"/>
      <c r="K12" s="14">
        <v>0.52</v>
      </c>
      <c r="L12" s="14">
        <v>9.1999999999999993</v>
      </c>
      <c r="M12" s="14">
        <v>34.799999999999997</v>
      </c>
      <c r="N12" s="14">
        <v>13.2</v>
      </c>
      <c r="O12" s="14">
        <v>0.44</v>
      </c>
    </row>
    <row r="13" spans="1:19" s="56" customFormat="1" x14ac:dyDescent="0.3">
      <c r="A13" s="92" t="s">
        <v>11</v>
      </c>
      <c r="B13" s="93"/>
      <c r="C13" s="94"/>
      <c r="D13" s="95">
        <f>SUM(D8:D12)</f>
        <v>19.973450000000003</v>
      </c>
      <c r="E13" s="95">
        <f>SUM(E8:E12)</f>
        <v>11.321340000000001</v>
      </c>
      <c r="F13" s="95">
        <f>SUM(F8:F12)</f>
        <v>81.251499999999993</v>
      </c>
      <c r="G13" s="143">
        <v>968.2</v>
      </c>
      <c r="H13" s="96"/>
      <c r="I13" s="96"/>
      <c r="J13" s="96"/>
      <c r="K13" s="96"/>
      <c r="L13" s="96"/>
      <c r="M13" s="96"/>
      <c r="N13" s="96"/>
      <c r="O13" s="96"/>
    </row>
    <row r="14" spans="1:19" ht="15" customHeight="1" x14ac:dyDescent="0.3">
      <c r="A14" s="58" t="s">
        <v>15</v>
      </c>
      <c r="B14" s="57"/>
      <c r="C14" s="79"/>
      <c r="D14" s="59">
        <v>26.05</v>
      </c>
      <c r="E14" s="59">
        <v>13.84</v>
      </c>
      <c r="F14" s="59">
        <v>110.59</v>
      </c>
      <c r="G14" s="144">
        <v>962.6</v>
      </c>
      <c r="H14" s="60"/>
      <c r="I14" s="60"/>
      <c r="J14" s="60"/>
      <c r="K14" s="60"/>
      <c r="L14" s="60"/>
      <c r="M14" s="60"/>
      <c r="N14" s="60"/>
      <c r="O14" s="60"/>
    </row>
    <row r="15" spans="1:19" ht="15" thickBot="1" x14ac:dyDescent="0.35"/>
    <row r="16" spans="1:19" ht="40.200000000000003" thickBot="1" x14ac:dyDescent="0.35">
      <c r="B16" s="196" t="s">
        <v>45</v>
      </c>
      <c r="C16" s="197"/>
      <c r="D16" s="197"/>
      <c r="E16" s="197"/>
      <c r="F16" s="200" t="s">
        <v>46</v>
      </c>
      <c r="G16" s="201"/>
      <c r="H16" s="202"/>
      <c r="I16" s="61" t="s">
        <v>47</v>
      </c>
    </row>
    <row r="17" spans="1:11" ht="15" thickBot="1" x14ac:dyDescent="0.35">
      <c r="B17" s="198"/>
      <c r="C17" s="199"/>
      <c r="D17" s="199"/>
      <c r="E17" s="199"/>
      <c r="F17" s="62" t="s">
        <v>1</v>
      </c>
      <c r="G17" s="133" t="s">
        <v>2</v>
      </c>
      <c r="H17" s="62" t="s">
        <v>3</v>
      </c>
      <c r="I17" s="63"/>
    </row>
    <row r="18" spans="1:11" ht="15" thickBot="1" x14ac:dyDescent="0.35">
      <c r="B18" s="203" t="s">
        <v>49</v>
      </c>
      <c r="C18" s="204"/>
      <c r="D18" s="204"/>
      <c r="E18" s="204"/>
      <c r="F18" s="62" t="s">
        <v>50</v>
      </c>
      <c r="G18" s="133" t="s">
        <v>51</v>
      </c>
      <c r="H18" s="62" t="s">
        <v>52</v>
      </c>
      <c r="I18" s="31" t="s">
        <v>116</v>
      </c>
    </row>
    <row r="19" spans="1:11" ht="15" thickBot="1" x14ac:dyDescent="0.35">
      <c r="B19" s="203" t="s">
        <v>48</v>
      </c>
      <c r="C19" s="204"/>
      <c r="D19" s="204"/>
      <c r="E19" s="204"/>
      <c r="F19" s="64">
        <f>D14</f>
        <v>26.05</v>
      </c>
      <c r="G19" s="134">
        <f>E14</f>
        <v>13.84</v>
      </c>
      <c r="H19" s="64">
        <f>F14</f>
        <v>110.59</v>
      </c>
      <c r="I19" s="64">
        <f>G14</f>
        <v>962.6</v>
      </c>
    </row>
    <row r="21" spans="1:11" ht="40.5" customHeight="1" x14ac:dyDescent="0.3">
      <c r="A21" s="74"/>
      <c r="B21" s="164" t="s">
        <v>94</v>
      </c>
      <c r="C21" s="164"/>
      <c r="D21" s="164"/>
      <c r="E21" s="164"/>
      <c r="F21" s="164"/>
      <c r="G21" s="164"/>
      <c r="H21" s="164"/>
      <c r="J21" s="51" t="s">
        <v>32</v>
      </c>
      <c r="K21" s="52" t="s">
        <v>40</v>
      </c>
    </row>
    <row r="22" spans="1:11" ht="23.25" customHeight="1" x14ac:dyDescent="0.3">
      <c r="A22" s="74"/>
      <c r="B22" s="66" t="s">
        <v>56</v>
      </c>
      <c r="C22" s="159" t="s">
        <v>57</v>
      </c>
      <c r="D22" s="159"/>
      <c r="E22" s="159"/>
      <c r="F22" s="159"/>
      <c r="G22" s="165" t="s">
        <v>95</v>
      </c>
      <c r="H22" s="166"/>
      <c r="J22" s="51" t="s">
        <v>34</v>
      </c>
      <c r="K22" s="52" t="s">
        <v>35</v>
      </c>
    </row>
    <row r="23" spans="1:11" ht="28.8" x14ac:dyDescent="0.3">
      <c r="A23" s="74"/>
      <c r="B23" s="162"/>
      <c r="C23" s="160" t="s">
        <v>58</v>
      </c>
      <c r="D23" s="161"/>
      <c r="E23" s="160" t="s">
        <v>59</v>
      </c>
      <c r="F23" s="161"/>
      <c r="G23" s="135" t="s">
        <v>58</v>
      </c>
      <c r="H23" s="66" t="s">
        <v>59</v>
      </c>
      <c r="J23" s="51" t="s">
        <v>36</v>
      </c>
      <c r="K23" s="52" t="s">
        <v>37</v>
      </c>
    </row>
    <row r="24" spans="1:11" ht="24.75" customHeight="1" x14ac:dyDescent="0.3">
      <c r="A24" s="74"/>
      <c r="B24" s="163"/>
      <c r="C24" s="160" t="s">
        <v>39</v>
      </c>
      <c r="D24" s="161"/>
      <c r="E24" s="160" t="s">
        <v>39</v>
      </c>
      <c r="F24" s="161"/>
      <c r="G24" s="135" t="s">
        <v>39</v>
      </c>
      <c r="H24" s="66" t="s">
        <v>39</v>
      </c>
      <c r="J24" s="51" t="s">
        <v>38</v>
      </c>
      <c r="K24" s="52" t="s">
        <v>39</v>
      </c>
    </row>
    <row r="25" spans="1:11" x14ac:dyDescent="0.3">
      <c r="A25" s="74"/>
      <c r="B25" s="67" t="s">
        <v>60</v>
      </c>
      <c r="C25" s="181">
        <v>80</v>
      </c>
      <c r="D25" s="182"/>
      <c r="E25" s="181">
        <v>80</v>
      </c>
      <c r="F25" s="182"/>
      <c r="G25" s="136">
        <v>40</v>
      </c>
      <c r="H25" s="68">
        <v>40</v>
      </c>
    </row>
    <row r="26" spans="1:11" x14ac:dyDescent="0.3">
      <c r="A26" s="74"/>
      <c r="B26" s="67" t="s">
        <v>61</v>
      </c>
      <c r="C26" s="181">
        <v>150</v>
      </c>
      <c r="D26" s="182"/>
      <c r="E26" s="181">
        <v>150</v>
      </c>
      <c r="F26" s="182"/>
      <c r="G26" s="136">
        <v>100</v>
      </c>
      <c r="H26" s="68">
        <v>100</v>
      </c>
    </row>
    <row r="27" spans="1:11" x14ac:dyDescent="0.3">
      <c r="A27" s="74"/>
      <c r="B27" s="67" t="s">
        <v>62</v>
      </c>
      <c r="C27" s="181">
        <v>15</v>
      </c>
      <c r="D27" s="182"/>
      <c r="E27" s="181">
        <v>15</v>
      </c>
      <c r="F27" s="182"/>
      <c r="G27" s="136">
        <f>78+11.5</f>
        <v>89.5</v>
      </c>
      <c r="H27" s="68">
        <f>78+11.5</f>
        <v>89.5</v>
      </c>
    </row>
    <row r="28" spans="1:11" x14ac:dyDescent="0.3">
      <c r="A28" s="74"/>
      <c r="B28" s="69" t="s">
        <v>63</v>
      </c>
      <c r="C28" s="183">
        <v>45</v>
      </c>
      <c r="D28" s="184"/>
      <c r="E28" s="183">
        <v>45</v>
      </c>
      <c r="F28" s="184"/>
      <c r="G28" s="137"/>
      <c r="H28" s="70"/>
    </row>
    <row r="29" spans="1:11" x14ac:dyDescent="0.3">
      <c r="A29" s="74"/>
      <c r="B29" s="67" t="s">
        <v>64</v>
      </c>
      <c r="C29" s="181">
        <v>15</v>
      </c>
      <c r="D29" s="182"/>
      <c r="E29" s="181">
        <v>15</v>
      </c>
      <c r="F29" s="182"/>
      <c r="G29" s="136"/>
      <c r="H29" s="68"/>
    </row>
    <row r="30" spans="1:11" x14ac:dyDescent="0.3">
      <c r="A30" s="74"/>
      <c r="B30" s="67" t="s">
        <v>65</v>
      </c>
      <c r="C30" s="181" t="s">
        <v>66</v>
      </c>
      <c r="D30" s="182"/>
      <c r="E30" s="185">
        <v>188</v>
      </c>
      <c r="F30" s="186"/>
      <c r="G30" s="136">
        <f>171+27+28.9</f>
        <v>226.9</v>
      </c>
      <c r="H30" s="68">
        <f>20+21+129</f>
        <v>170</v>
      </c>
    </row>
    <row r="31" spans="1:11" x14ac:dyDescent="0.3">
      <c r="A31" s="74"/>
      <c r="B31" s="67" t="s">
        <v>67</v>
      </c>
      <c r="C31" s="181">
        <v>350</v>
      </c>
      <c r="D31" s="182"/>
      <c r="E31" s="181" t="s">
        <v>68</v>
      </c>
      <c r="F31" s="182"/>
      <c r="G31" s="136">
        <f>50+25+12.5+3.25+12+7.5+19.1+12.6+18.8+21.4+18.8+23+4+2+10+10</f>
        <v>249.95000000000002</v>
      </c>
      <c r="H31" s="83">
        <f>40+20+10+2.5+10+7.5+15+10+15+15+15+18+3+1+8+10</f>
        <v>200</v>
      </c>
    </row>
    <row r="32" spans="1:11" x14ac:dyDescent="0.3">
      <c r="A32" s="74"/>
      <c r="B32" s="67" t="s">
        <v>69</v>
      </c>
      <c r="C32" s="181">
        <v>200</v>
      </c>
      <c r="D32" s="182"/>
      <c r="E32" s="181" t="s">
        <v>70</v>
      </c>
      <c r="F32" s="182"/>
      <c r="G32" s="136">
        <f>100+21+8</f>
        <v>129</v>
      </c>
      <c r="H32" s="68">
        <v>129</v>
      </c>
    </row>
    <row r="33" spans="1:8" ht="39.6" x14ac:dyDescent="0.3">
      <c r="A33" s="74"/>
      <c r="B33" s="67" t="s">
        <v>72</v>
      </c>
      <c r="C33" s="181">
        <v>200</v>
      </c>
      <c r="D33" s="182"/>
      <c r="E33" s="181">
        <v>200</v>
      </c>
      <c r="F33" s="182"/>
      <c r="G33" s="136">
        <v>200</v>
      </c>
      <c r="H33" s="68">
        <v>200</v>
      </c>
    </row>
    <row r="34" spans="1:8" ht="26.4" x14ac:dyDescent="0.3">
      <c r="A34" s="74"/>
      <c r="B34" s="67" t="s">
        <v>73</v>
      </c>
      <c r="C34" s="181"/>
      <c r="D34" s="182"/>
      <c r="E34" s="181"/>
      <c r="F34" s="182"/>
      <c r="G34" s="136"/>
      <c r="H34" s="68"/>
    </row>
    <row r="35" spans="1:8" ht="26.4" x14ac:dyDescent="0.3">
      <c r="A35" s="74"/>
      <c r="B35" s="67" t="s">
        <v>75</v>
      </c>
      <c r="C35" s="181" t="s">
        <v>76</v>
      </c>
      <c r="D35" s="182"/>
      <c r="E35" s="181">
        <v>35</v>
      </c>
      <c r="F35" s="182"/>
      <c r="G35" s="136"/>
      <c r="H35" s="68"/>
    </row>
    <row r="36" spans="1:8" x14ac:dyDescent="0.3">
      <c r="A36" s="74"/>
      <c r="B36" s="67" t="s">
        <v>77</v>
      </c>
      <c r="C36" s="181">
        <v>60</v>
      </c>
      <c r="D36" s="182"/>
      <c r="E36" s="181">
        <v>58</v>
      </c>
      <c r="F36" s="182"/>
      <c r="G36" s="136">
        <v>123</v>
      </c>
      <c r="H36" s="68">
        <v>61</v>
      </c>
    </row>
    <row r="37" spans="1:8" x14ac:dyDescent="0.3">
      <c r="A37" s="74"/>
      <c r="B37" s="67" t="s">
        <v>78</v>
      </c>
      <c r="C37" s="181"/>
      <c r="D37" s="182"/>
      <c r="E37" s="181"/>
      <c r="F37" s="182"/>
      <c r="G37" s="136"/>
      <c r="H37" s="68"/>
    </row>
    <row r="38" spans="1:8" ht="26.4" x14ac:dyDescent="0.3">
      <c r="A38" s="74"/>
      <c r="B38" s="67" t="s">
        <v>79</v>
      </c>
      <c r="C38" s="181">
        <v>300</v>
      </c>
      <c r="D38" s="182"/>
      <c r="E38" s="181">
        <v>300</v>
      </c>
      <c r="F38" s="182"/>
      <c r="G38" s="136">
        <f>78+24</f>
        <v>102</v>
      </c>
      <c r="H38" s="68">
        <f>78+22.5</f>
        <v>100.5</v>
      </c>
    </row>
    <row r="39" spans="1:8" ht="26.4" x14ac:dyDescent="0.3">
      <c r="A39" s="74"/>
      <c r="B39" s="67" t="s">
        <v>80</v>
      </c>
      <c r="C39" s="181"/>
      <c r="D39" s="182"/>
      <c r="E39" s="181"/>
      <c r="F39" s="182"/>
      <c r="G39" s="136"/>
      <c r="H39" s="68"/>
    </row>
    <row r="40" spans="1:8" ht="26.4" x14ac:dyDescent="0.3">
      <c r="A40" s="74"/>
      <c r="B40" s="67" t="s">
        <v>81</v>
      </c>
      <c r="C40" s="181"/>
      <c r="D40" s="182"/>
      <c r="E40" s="181"/>
      <c r="F40" s="182"/>
      <c r="G40" s="136"/>
      <c r="H40" s="68"/>
    </row>
    <row r="41" spans="1:8" x14ac:dyDescent="0.3">
      <c r="A41" s="74"/>
      <c r="B41" s="67" t="s">
        <v>82</v>
      </c>
      <c r="C41" s="181">
        <v>22</v>
      </c>
      <c r="D41" s="182"/>
      <c r="E41" s="181">
        <v>20</v>
      </c>
      <c r="F41" s="182"/>
      <c r="G41" s="136"/>
      <c r="H41" s="83"/>
    </row>
    <row r="42" spans="1:8" ht="26.4" x14ac:dyDescent="0.3">
      <c r="A42" s="74"/>
      <c r="B42" s="67" t="s">
        <v>83</v>
      </c>
      <c r="C42" s="181"/>
      <c r="D42" s="182"/>
      <c r="E42" s="181"/>
      <c r="F42" s="182"/>
      <c r="G42" s="138"/>
      <c r="H42" s="73"/>
    </row>
    <row r="43" spans="1:8" x14ac:dyDescent="0.3">
      <c r="A43" s="74"/>
      <c r="B43" s="67" t="s">
        <v>84</v>
      </c>
      <c r="C43" s="181">
        <v>30</v>
      </c>
      <c r="D43" s="182"/>
      <c r="E43" s="181">
        <v>30</v>
      </c>
      <c r="F43" s="182"/>
      <c r="G43" s="136">
        <f>10+5.25</f>
        <v>15.25</v>
      </c>
      <c r="H43" s="68">
        <v>15.25</v>
      </c>
    </row>
    <row r="44" spans="1:8" x14ac:dyDescent="0.3">
      <c r="A44" s="74"/>
      <c r="B44" s="67" t="s">
        <v>85</v>
      </c>
      <c r="C44" s="181">
        <v>15</v>
      </c>
      <c r="D44" s="182"/>
      <c r="E44" s="181">
        <v>15</v>
      </c>
      <c r="F44" s="182"/>
      <c r="G44" s="139">
        <f>9+5+10</f>
        <v>24</v>
      </c>
      <c r="H44" s="68">
        <v>24</v>
      </c>
    </row>
    <row r="45" spans="1:8" x14ac:dyDescent="0.3">
      <c r="A45" s="74"/>
      <c r="B45" s="67" t="s">
        <v>86</v>
      </c>
      <c r="C45" s="181"/>
      <c r="D45" s="182"/>
      <c r="E45" s="181"/>
      <c r="F45" s="182"/>
      <c r="G45" s="136"/>
      <c r="H45" s="68"/>
    </row>
    <row r="46" spans="1:8" x14ac:dyDescent="0.3">
      <c r="A46" s="74"/>
      <c r="B46" s="67" t="s">
        <v>88</v>
      </c>
      <c r="C46" s="181">
        <v>40</v>
      </c>
      <c r="D46" s="182"/>
      <c r="E46" s="185">
        <v>40</v>
      </c>
      <c r="F46" s="186"/>
      <c r="G46" s="136">
        <f>2.75+6+2+1</f>
        <v>11.75</v>
      </c>
      <c r="H46" s="68">
        <v>11.75</v>
      </c>
    </row>
    <row r="47" spans="1:8" x14ac:dyDescent="0.3">
      <c r="A47" s="74"/>
      <c r="B47" s="67" t="s">
        <v>89</v>
      </c>
      <c r="C47" s="185">
        <v>100</v>
      </c>
      <c r="D47" s="186"/>
      <c r="E47" s="181">
        <v>100</v>
      </c>
      <c r="F47" s="182"/>
      <c r="G47" s="136">
        <v>100</v>
      </c>
      <c r="H47" s="68">
        <v>100</v>
      </c>
    </row>
    <row r="48" spans="1:8" x14ac:dyDescent="0.3">
      <c r="A48" s="74"/>
      <c r="B48" s="67" t="s">
        <v>90</v>
      </c>
      <c r="C48" s="181">
        <v>1</v>
      </c>
      <c r="D48" s="182"/>
      <c r="E48" s="181">
        <v>1</v>
      </c>
      <c r="F48" s="182"/>
      <c r="G48" s="136">
        <v>1</v>
      </c>
      <c r="H48" s="68">
        <v>1</v>
      </c>
    </row>
    <row r="49" spans="1:8" x14ac:dyDescent="0.3">
      <c r="A49" s="74"/>
      <c r="B49" s="67" t="s">
        <v>91</v>
      </c>
      <c r="C49" s="181"/>
      <c r="D49" s="182"/>
      <c r="E49" s="181"/>
      <c r="F49" s="182"/>
      <c r="G49" s="136"/>
      <c r="H49" s="68"/>
    </row>
    <row r="50" spans="1:8" x14ac:dyDescent="0.3">
      <c r="A50" s="74"/>
      <c r="B50" s="67" t="s">
        <v>92</v>
      </c>
      <c r="C50" s="181"/>
      <c r="D50" s="182"/>
      <c r="E50" s="181"/>
      <c r="F50" s="182"/>
      <c r="G50" s="136"/>
      <c r="H50" s="68"/>
    </row>
    <row r="51" spans="1:8" x14ac:dyDescent="0.3">
      <c r="A51" s="74"/>
      <c r="B51" s="67" t="s">
        <v>93</v>
      </c>
      <c r="C51" s="181">
        <v>5</v>
      </c>
      <c r="D51" s="182"/>
      <c r="E51" s="181">
        <v>5</v>
      </c>
      <c r="F51" s="182"/>
      <c r="G51" s="136">
        <f>1.5+0.8+1</f>
        <v>3.3</v>
      </c>
      <c r="H51" s="68">
        <v>3.3</v>
      </c>
    </row>
    <row r="52" spans="1:8" x14ac:dyDescent="0.3">
      <c r="A52" s="74"/>
      <c r="B52" s="74"/>
      <c r="C52" s="80"/>
      <c r="D52" s="74"/>
      <c r="E52" s="74"/>
      <c r="F52" s="74"/>
      <c r="G52" s="140"/>
      <c r="H52" s="74"/>
    </row>
    <row r="53" spans="1:8" x14ac:dyDescent="0.3">
      <c r="A53" s="74"/>
      <c r="B53" s="74"/>
      <c r="C53" s="80"/>
      <c r="D53" s="74"/>
      <c r="E53" s="74"/>
      <c r="F53" s="74"/>
      <c r="G53" s="80"/>
      <c r="H53" s="74"/>
    </row>
    <row r="54" spans="1:8" x14ac:dyDescent="0.3">
      <c r="A54" s="74"/>
      <c r="B54" s="74"/>
      <c r="C54" s="80"/>
      <c r="D54" s="74"/>
      <c r="E54" s="74"/>
      <c r="F54" s="74"/>
      <c r="G54" s="80"/>
      <c r="H54" s="74"/>
    </row>
    <row r="55" spans="1:8" x14ac:dyDescent="0.3">
      <c r="A55" s="74"/>
      <c r="B55" s="74"/>
      <c r="C55" s="80"/>
      <c r="D55" s="74"/>
      <c r="E55" s="74"/>
      <c r="F55" s="74"/>
      <c r="G55" s="80"/>
      <c r="H55" s="74"/>
    </row>
    <row r="56" spans="1:8" x14ac:dyDescent="0.3">
      <c r="A56" s="74"/>
      <c r="B56" s="74"/>
      <c r="C56" s="80"/>
      <c r="D56" s="74"/>
      <c r="E56" s="74"/>
      <c r="F56" s="74"/>
      <c r="G56" s="80"/>
      <c r="H56" s="74"/>
    </row>
    <row r="57" spans="1:8" x14ac:dyDescent="0.3">
      <c r="A57" s="74"/>
      <c r="B57" s="74"/>
      <c r="C57" s="80"/>
      <c r="D57" s="74"/>
      <c r="E57" s="74"/>
      <c r="F57" s="74"/>
      <c r="G57" s="80"/>
      <c r="H57" s="74"/>
    </row>
  </sheetData>
  <sheetProtection formatCells="0" formatColumns="0" formatRows="0" insertColumns="0" insertRows="0" insertHyperlinks="0" deleteColumns="0" deleteRows="0" sort="0" autoFilter="0" pivotTables="0"/>
  <mergeCells count="74">
    <mergeCell ref="E25:F25"/>
    <mergeCell ref="E30:F30"/>
    <mergeCell ref="E29:F29"/>
    <mergeCell ref="E28:F28"/>
    <mergeCell ref="E27:F27"/>
    <mergeCell ref="E26:F26"/>
    <mergeCell ref="E34:F34"/>
    <mergeCell ref="E33:F33"/>
    <mergeCell ref="E32:F32"/>
    <mergeCell ref="E31:F31"/>
    <mergeCell ref="E39:F39"/>
    <mergeCell ref="E38:F38"/>
    <mergeCell ref="E37:F37"/>
    <mergeCell ref="E36:F36"/>
    <mergeCell ref="E35:F35"/>
    <mergeCell ref="E42:F42"/>
    <mergeCell ref="E43:F43"/>
    <mergeCell ref="E40:F40"/>
    <mergeCell ref="E41:F41"/>
    <mergeCell ref="E45:F45"/>
    <mergeCell ref="E44:F44"/>
    <mergeCell ref="E48:F48"/>
    <mergeCell ref="E47:F47"/>
    <mergeCell ref="E46:F46"/>
    <mergeCell ref="C49:D49"/>
    <mergeCell ref="C51:D51"/>
    <mergeCell ref="C50:D50"/>
    <mergeCell ref="E51:F51"/>
    <mergeCell ref="E50:F50"/>
    <mergeCell ref="E49:F49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C25:D25"/>
    <mergeCell ref="C26:D26"/>
    <mergeCell ref="C27:D27"/>
    <mergeCell ref="C29:D29"/>
    <mergeCell ref="C28:D28"/>
    <mergeCell ref="B21:H21"/>
    <mergeCell ref="C22:F22"/>
    <mergeCell ref="B23:B24"/>
    <mergeCell ref="C23:D23"/>
    <mergeCell ref="E23:F23"/>
    <mergeCell ref="G22:H22"/>
    <mergeCell ref="C24:D24"/>
    <mergeCell ref="E24:F24"/>
    <mergeCell ref="B16:E17"/>
    <mergeCell ref="F16:H16"/>
    <mergeCell ref="B18:E18"/>
    <mergeCell ref="B19:E19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55"/>
  <sheetViews>
    <sheetView view="pageBreakPreview" zoomScale="90" zoomScaleNormal="90" zoomScaleSheetLayoutView="90" workbookViewId="0">
      <selection activeCell="C14" sqref="C14"/>
    </sheetView>
  </sheetViews>
  <sheetFormatPr defaultColWidth="9.109375" defaultRowHeight="14.4" x14ac:dyDescent="0.3"/>
  <cols>
    <col min="1" max="1" width="14" style="12" bestFit="1" customWidth="1"/>
    <col min="2" max="2" width="32.6640625" style="12" customWidth="1"/>
    <col min="3" max="3" width="9.109375" style="12"/>
    <col min="4" max="4" width="10.5546875" style="12" bestFit="1" customWidth="1"/>
    <col min="5" max="6" width="9.109375" style="12"/>
    <col min="7" max="7" width="12.21875" style="12" customWidth="1"/>
    <col min="8" max="8" width="10" style="12" bestFit="1" customWidth="1"/>
    <col min="9" max="9" width="10.5546875" style="12" bestFit="1" customWidth="1"/>
    <col min="10" max="16384" width="9.109375" style="12"/>
  </cols>
  <sheetData>
    <row r="1" spans="1:15" ht="15.6" x14ac:dyDescent="0.3">
      <c r="A1" s="110" t="s">
        <v>32</v>
      </c>
      <c r="B1" s="111" t="s">
        <v>41</v>
      </c>
    </row>
    <row r="2" spans="1:15" ht="15.6" x14ac:dyDescent="0.3">
      <c r="A2" s="110" t="s">
        <v>34</v>
      </c>
      <c r="B2" s="111" t="s">
        <v>35</v>
      </c>
    </row>
    <row r="3" spans="1:15" ht="15.6" x14ac:dyDescent="0.3">
      <c r="A3" s="110" t="s">
        <v>36</v>
      </c>
      <c r="B3" s="111" t="s">
        <v>37</v>
      </c>
    </row>
    <row r="4" spans="1:15" ht="31.2" x14ac:dyDescent="0.3">
      <c r="A4" s="110" t="s">
        <v>38</v>
      </c>
      <c r="B4" s="18" t="s">
        <v>115</v>
      </c>
    </row>
    <row r="5" spans="1:15" ht="15.6" x14ac:dyDescent="0.3">
      <c r="A5" s="206" t="s">
        <v>26</v>
      </c>
      <c r="B5" s="206" t="s">
        <v>19</v>
      </c>
      <c r="C5" s="206" t="s">
        <v>21</v>
      </c>
      <c r="D5" s="210" t="s">
        <v>29</v>
      </c>
      <c r="E5" s="211"/>
      <c r="F5" s="212"/>
      <c r="G5" s="206" t="s">
        <v>0</v>
      </c>
      <c r="H5" s="210" t="s">
        <v>28</v>
      </c>
      <c r="I5" s="211"/>
      <c r="J5" s="211"/>
      <c r="K5" s="212"/>
      <c r="L5" s="210" t="s">
        <v>27</v>
      </c>
      <c r="M5" s="211"/>
      <c r="N5" s="211"/>
      <c r="O5" s="212"/>
    </row>
    <row r="6" spans="1:15" ht="15.6" x14ac:dyDescent="0.3">
      <c r="A6" s="207"/>
      <c r="B6" s="208"/>
      <c r="C6" s="209"/>
      <c r="D6" s="112" t="s">
        <v>1</v>
      </c>
      <c r="E6" s="112" t="s">
        <v>2</v>
      </c>
      <c r="F6" s="112" t="s">
        <v>3</v>
      </c>
      <c r="G6" s="207"/>
      <c r="H6" s="112" t="s">
        <v>18</v>
      </c>
      <c r="I6" s="112" t="s">
        <v>4</v>
      </c>
      <c r="J6" s="112" t="s">
        <v>5</v>
      </c>
      <c r="K6" s="112" t="s">
        <v>6</v>
      </c>
      <c r="L6" s="112" t="s">
        <v>7</v>
      </c>
      <c r="M6" s="112" t="s">
        <v>8</v>
      </c>
      <c r="N6" s="112" t="s">
        <v>9</v>
      </c>
      <c r="O6" s="112" t="s">
        <v>10</v>
      </c>
    </row>
    <row r="7" spans="1:15" ht="18" x14ac:dyDescent="0.3">
      <c r="A7" s="227" t="s">
        <v>20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15" s="21" customFormat="1" ht="27.6" x14ac:dyDescent="0.3">
      <c r="A8" s="123">
        <v>206</v>
      </c>
      <c r="B8" s="8" t="s">
        <v>105</v>
      </c>
      <c r="C8" s="123">
        <v>300</v>
      </c>
      <c r="D8" s="14">
        <f>0.7 +4.9</f>
        <v>5.6000000000000005</v>
      </c>
      <c r="E8" s="14">
        <f xml:space="preserve"> 0.175+10.66</f>
        <v>10.835000000000001</v>
      </c>
      <c r="F8" s="14">
        <v>19.23</v>
      </c>
      <c r="G8" s="14">
        <v>167.43</v>
      </c>
      <c r="H8" s="14">
        <v>0.15</v>
      </c>
      <c r="I8" s="14">
        <v>5.83</v>
      </c>
      <c r="J8" s="14"/>
      <c r="K8" s="14">
        <v>2.4500000000000002</v>
      </c>
      <c r="L8" s="14">
        <f>(10/1000*175)+41.48</f>
        <v>43.23</v>
      </c>
      <c r="M8" s="14">
        <v>137.78</v>
      </c>
      <c r="N8" s="14">
        <v>38.25</v>
      </c>
      <c r="O8" s="14">
        <v>1.83</v>
      </c>
    </row>
    <row r="9" spans="1:15" x14ac:dyDescent="0.3">
      <c r="A9" s="123">
        <v>660</v>
      </c>
      <c r="B9" s="8" t="s">
        <v>106</v>
      </c>
      <c r="C9" s="123">
        <v>100</v>
      </c>
      <c r="D9" s="14">
        <f>7.65*2</f>
        <v>15.3</v>
      </c>
      <c r="E9" s="14">
        <f>14.7*2</f>
        <v>29.4</v>
      </c>
      <c r="F9" s="14">
        <f>7.73*2</f>
        <v>15.46</v>
      </c>
      <c r="G9" s="14">
        <f>194*2</f>
        <v>388</v>
      </c>
      <c r="H9" s="14">
        <f>0.05*2</f>
        <v>0.1</v>
      </c>
      <c r="I9" s="14">
        <f>0.52*2</f>
        <v>1.04</v>
      </c>
      <c r="J9" s="14">
        <f>45.7*2</f>
        <v>91.4</v>
      </c>
      <c r="K9" s="14">
        <f>1.45*2</f>
        <v>2.9</v>
      </c>
      <c r="L9" s="14">
        <f>27.77*2</f>
        <v>55.54</v>
      </c>
      <c r="M9" s="14">
        <f>48.77*2</f>
        <v>97.54</v>
      </c>
      <c r="N9" s="14">
        <f>10.4*2</f>
        <v>20.8</v>
      </c>
      <c r="O9" s="14">
        <f>0.71*2</f>
        <v>1.42</v>
      </c>
    </row>
    <row r="10" spans="1:15" x14ac:dyDescent="0.3">
      <c r="A10" s="123">
        <v>315</v>
      </c>
      <c r="B10" s="8" t="s">
        <v>97</v>
      </c>
      <c r="C10" s="109">
        <v>200</v>
      </c>
      <c r="D10" s="14">
        <v>25.81</v>
      </c>
      <c r="E10" s="14">
        <v>40.46</v>
      </c>
      <c r="F10" s="14">
        <v>117.85</v>
      </c>
      <c r="G10" s="14">
        <v>938.75</v>
      </c>
      <c r="H10" s="14">
        <v>0.33</v>
      </c>
      <c r="I10" s="14">
        <v>17.079999999999998</v>
      </c>
      <c r="J10" s="14">
        <v>0</v>
      </c>
      <c r="K10" s="14">
        <v>1.95</v>
      </c>
      <c r="L10" s="14">
        <v>58.75</v>
      </c>
      <c r="M10" s="14">
        <v>40.69</v>
      </c>
      <c r="N10" s="14">
        <v>20.85</v>
      </c>
      <c r="O10" s="14">
        <v>0.83</v>
      </c>
    </row>
    <row r="11" spans="1:15" x14ac:dyDescent="0.3">
      <c r="A11" s="37">
        <v>1013</v>
      </c>
      <c r="B11" s="8" t="s">
        <v>100</v>
      </c>
      <c r="C11" s="84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15" x14ac:dyDescent="0.3">
      <c r="A12" s="42"/>
      <c r="B12" s="8" t="s">
        <v>14</v>
      </c>
      <c r="C12" s="109">
        <v>50</v>
      </c>
      <c r="D12" s="14">
        <v>2.2400000000000002</v>
      </c>
      <c r="E12" s="14">
        <v>0.88</v>
      </c>
      <c r="F12" s="14">
        <v>19.760000000000002</v>
      </c>
      <c r="G12" s="142">
        <v>95.96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x14ac:dyDescent="0.3">
      <c r="A13" s="42"/>
      <c r="B13" s="8" t="s">
        <v>61</v>
      </c>
      <c r="C13" s="109">
        <v>50</v>
      </c>
      <c r="D13" s="14">
        <v>3.16</v>
      </c>
      <c r="E13" s="14">
        <v>0.4</v>
      </c>
      <c r="F13" s="14">
        <v>19.32</v>
      </c>
      <c r="G13" s="142">
        <v>97.52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122" customFormat="1" ht="16.5" customHeight="1" x14ac:dyDescent="0.3">
      <c r="A14" s="88" t="s">
        <v>11</v>
      </c>
      <c r="B14" s="89"/>
      <c r="C14" s="89"/>
      <c r="D14" s="97">
        <f>SUM(D8:D13)</f>
        <v>53.11</v>
      </c>
      <c r="E14" s="97">
        <f>SUM(E8:E13)</f>
        <v>81.974999999999994</v>
      </c>
      <c r="F14" s="97">
        <f>SUM(F8:F13)</f>
        <v>211.81999999999996</v>
      </c>
      <c r="G14" s="97">
        <f>SUM(G8:G13)</f>
        <v>1772.46</v>
      </c>
      <c r="H14" s="99"/>
      <c r="I14" s="99"/>
      <c r="J14" s="99"/>
      <c r="K14" s="99"/>
      <c r="L14" s="99"/>
      <c r="M14" s="99"/>
      <c r="N14" s="99"/>
      <c r="O14" s="99"/>
    </row>
    <row r="15" spans="1:15" s="122" customFormat="1" x14ac:dyDescent="0.3">
      <c r="A15" s="88" t="s">
        <v>15</v>
      </c>
      <c r="B15" s="89"/>
      <c r="C15" s="89"/>
      <c r="D15" s="91">
        <v>29.34</v>
      </c>
      <c r="E15" s="91">
        <v>45.2</v>
      </c>
      <c r="F15" s="91">
        <v>101.86</v>
      </c>
      <c r="G15" s="91">
        <f>SUM(G14)</f>
        <v>1772.46</v>
      </c>
      <c r="H15" s="99"/>
      <c r="I15" s="99"/>
      <c r="J15" s="99"/>
      <c r="K15" s="99"/>
      <c r="L15" s="99"/>
      <c r="M15" s="99"/>
      <c r="N15" s="99"/>
      <c r="O15" s="99"/>
    </row>
    <row r="16" spans="1:15" ht="15" thickBot="1" x14ac:dyDescent="0.35"/>
    <row r="17" spans="1:16" ht="40.200000000000003" thickBot="1" x14ac:dyDescent="0.35">
      <c r="A17" s="45"/>
      <c r="B17" s="234" t="s">
        <v>45</v>
      </c>
      <c r="C17" s="235"/>
      <c r="D17" s="235"/>
      <c r="E17" s="236"/>
      <c r="F17" s="213" t="s">
        <v>46</v>
      </c>
      <c r="G17" s="214"/>
      <c r="H17" s="215"/>
      <c r="I17" s="113" t="s">
        <v>47</v>
      </c>
      <c r="K17" s="45"/>
      <c r="L17" s="45"/>
      <c r="M17" s="45"/>
      <c r="N17" s="45"/>
      <c r="O17" s="45"/>
      <c r="P17" s="45"/>
    </row>
    <row r="18" spans="1:16" ht="15" thickBot="1" x14ac:dyDescent="0.35">
      <c r="A18" s="34"/>
      <c r="B18" s="237"/>
      <c r="C18" s="238"/>
      <c r="D18" s="238"/>
      <c r="E18" s="239"/>
      <c r="F18" s="114" t="s">
        <v>1</v>
      </c>
      <c r="G18" s="114" t="s">
        <v>2</v>
      </c>
      <c r="H18" s="114" t="s">
        <v>3</v>
      </c>
      <c r="I18" s="115"/>
      <c r="K18" s="45"/>
      <c r="L18" s="36"/>
      <c r="M18" s="36"/>
      <c r="N18" s="36"/>
      <c r="O18" s="36"/>
      <c r="P18" s="45"/>
    </row>
    <row r="19" spans="1:16" ht="15" thickBot="1" x14ac:dyDescent="0.35">
      <c r="A19" s="34"/>
      <c r="B19" s="216" t="s">
        <v>49</v>
      </c>
      <c r="C19" s="217"/>
      <c r="D19" s="217"/>
      <c r="E19" s="218"/>
      <c r="F19" s="114" t="s">
        <v>50</v>
      </c>
      <c r="G19" s="114" t="s">
        <v>51</v>
      </c>
      <c r="H19" s="114" t="s">
        <v>52</v>
      </c>
      <c r="I19" s="114" t="s">
        <v>116</v>
      </c>
      <c r="K19" s="45"/>
      <c r="L19" s="36"/>
      <c r="M19" s="36"/>
      <c r="N19" s="36"/>
      <c r="O19" s="36"/>
      <c r="P19" s="45"/>
    </row>
    <row r="20" spans="1:16" ht="15" thickBot="1" x14ac:dyDescent="0.35">
      <c r="A20" s="45"/>
      <c r="B20" s="216" t="s">
        <v>48</v>
      </c>
      <c r="C20" s="217"/>
      <c r="D20" s="217"/>
      <c r="E20" s="218"/>
      <c r="F20" s="116">
        <f>D15</f>
        <v>29.34</v>
      </c>
      <c r="G20" s="116">
        <f>E15</f>
        <v>45.2</v>
      </c>
      <c r="H20" s="116">
        <f>F15</f>
        <v>101.86</v>
      </c>
      <c r="I20" s="116">
        <f>G15</f>
        <v>1772.46</v>
      </c>
      <c r="K20" s="45"/>
      <c r="L20" s="45"/>
      <c r="M20" s="45"/>
      <c r="N20" s="45"/>
      <c r="O20" s="45"/>
      <c r="P20" s="45"/>
    </row>
    <row r="21" spans="1:16" s="22" customFormat="1" x14ac:dyDescent="0.3">
      <c r="A21" s="34"/>
      <c r="B21" s="12"/>
      <c r="C21" s="12"/>
      <c r="D21" s="12"/>
      <c r="E21" s="12"/>
      <c r="F21" s="12"/>
      <c r="G21" s="12"/>
      <c r="H21" s="12"/>
      <c r="I21" s="12"/>
      <c r="J21" s="12"/>
      <c r="K21" s="45"/>
      <c r="L21" s="36"/>
      <c r="M21" s="36"/>
      <c r="N21" s="36"/>
      <c r="O21" s="36"/>
      <c r="P21" s="46"/>
    </row>
    <row r="22" spans="1:16" ht="32.25" customHeight="1" x14ac:dyDescent="0.3">
      <c r="A22" s="45"/>
      <c r="B22" s="221" t="s">
        <v>94</v>
      </c>
      <c r="C22" s="221"/>
      <c r="D22" s="221"/>
      <c r="E22" s="221"/>
      <c r="F22" s="221"/>
      <c r="G22" s="221"/>
      <c r="H22" s="221"/>
      <c r="K22" s="45"/>
      <c r="L22" s="45"/>
      <c r="M22" s="45"/>
      <c r="N22" s="45"/>
      <c r="O22" s="45"/>
      <c r="P22" s="45"/>
    </row>
    <row r="23" spans="1:16" ht="30" customHeight="1" x14ac:dyDescent="0.3">
      <c r="A23" s="45"/>
      <c r="B23" s="117" t="s">
        <v>56</v>
      </c>
      <c r="C23" s="222" t="s">
        <v>57</v>
      </c>
      <c r="D23" s="222"/>
      <c r="E23" s="222"/>
      <c r="F23" s="222"/>
      <c r="G23" s="219" t="s">
        <v>95</v>
      </c>
      <c r="H23" s="220"/>
      <c r="J23" s="110" t="s">
        <v>32</v>
      </c>
      <c r="K23" s="111" t="s">
        <v>41</v>
      </c>
    </row>
    <row r="24" spans="1:16" ht="31.2" x14ac:dyDescent="0.3">
      <c r="A24" s="45"/>
      <c r="B24" s="223"/>
      <c r="C24" s="225" t="s">
        <v>58</v>
      </c>
      <c r="D24" s="226"/>
      <c r="E24" s="225" t="s">
        <v>59</v>
      </c>
      <c r="F24" s="226"/>
      <c r="G24" s="117" t="s">
        <v>58</v>
      </c>
      <c r="H24" s="117" t="s">
        <v>59</v>
      </c>
      <c r="J24" s="110" t="s">
        <v>34</v>
      </c>
      <c r="K24" s="111" t="s">
        <v>35</v>
      </c>
    </row>
    <row r="25" spans="1:16" ht="28.8" x14ac:dyDescent="0.3">
      <c r="A25" s="45"/>
      <c r="B25" s="224"/>
      <c r="C25" s="225" t="s">
        <v>39</v>
      </c>
      <c r="D25" s="226"/>
      <c r="E25" s="225" t="s">
        <v>39</v>
      </c>
      <c r="F25" s="226"/>
      <c r="G25" s="117" t="s">
        <v>39</v>
      </c>
      <c r="H25" s="117" t="s">
        <v>39</v>
      </c>
      <c r="J25" s="110" t="s">
        <v>36</v>
      </c>
      <c r="K25" s="111" t="s">
        <v>37</v>
      </c>
    </row>
    <row r="26" spans="1:16" ht="61.5" customHeight="1" x14ac:dyDescent="0.3">
      <c r="A26" s="45"/>
      <c r="B26" s="118" t="s">
        <v>60</v>
      </c>
      <c r="C26" s="230">
        <v>80</v>
      </c>
      <c r="D26" s="231"/>
      <c r="E26" s="230">
        <v>80</v>
      </c>
      <c r="F26" s="231"/>
      <c r="G26" s="119">
        <v>40</v>
      </c>
      <c r="H26" s="119">
        <v>40</v>
      </c>
      <c r="J26" s="110" t="s">
        <v>38</v>
      </c>
      <c r="K26" s="111" t="s">
        <v>39</v>
      </c>
    </row>
    <row r="27" spans="1:16" x14ac:dyDescent="0.3">
      <c r="A27" s="45"/>
      <c r="B27" s="118" t="s">
        <v>61</v>
      </c>
      <c r="C27" s="230">
        <v>150</v>
      </c>
      <c r="D27" s="231"/>
      <c r="E27" s="230">
        <v>150</v>
      </c>
      <c r="F27" s="231"/>
      <c r="G27" s="119">
        <f>50+8+5+40</f>
        <v>103</v>
      </c>
      <c r="H27" s="119">
        <v>103</v>
      </c>
    </row>
    <row r="28" spans="1:16" x14ac:dyDescent="0.3">
      <c r="A28" s="45"/>
      <c r="B28" s="118" t="s">
        <v>62</v>
      </c>
      <c r="C28" s="230">
        <v>15</v>
      </c>
      <c r="D28" s="231"/>
      <c r="E28" s="230">
        <v>15</v>
      </c>
      <c r="F28" s="231"/>
      <c r="G28" s="119">
        <f>1+0.6+14</f>
        <v>15.6</v>
      </c>
      <c r="H28" s="119">
        <v>15.6</v>
      </c>
    </row>
    <row r="29" spans="1:16" x14ac:dyDescent="0.3">
      <c r="A29" s="45"/>
      <c r="B29" s="118" t="s">
        <v>63</v>
      </c>
      <c r="C29" s="230">
        <v>45</v>
      </c>
      <c r="D29" s="231"/>
      <c r="E29" s="230">
        <v>45</v>
      </c>
      <c r="F29" s="231"/>
      <c r="G29" s="119"/>
      <c r="H29" s="119"/>
    </row>
    <row r="30" spans="1:16" x14ac:dyDescent="0.3">
      <c r="A30" s="45"/>
      <c r="B30" s="118" t="s">
        <v>64</v>
      </c>
      <c r="C30" s="230">
        <v>15</v>
      </c>
      <c r="D30" s="231"/>
      <c r="E30" s="230">
        <v>15</v>
      </c>
      <c r="F30" s="231"/>
      <c r="G30" s="119">
        <v>10</v>
      </c>
      <c r="H30" s="119">
        <v>10</v>
      </c>
    </row>
    <row r="31" spans="1:16" x14ac:dyDescent="0.3">
      <c r="A31" s="45"/>
      <c r="B31" s="118" t="s">
        <v>65</v>
      </c>
      <c r="C31" s="230" t="s">
        <v>66</v>
      </c>
      <c r="D31" s="231"/>
      <c r="E31" s="232">
        <v>188</v>
      </c>
      <c r="F31" s="233"/>
      <c r="G31" s="119">
        <v>53.4</v>
      </c>
      <c r="H31" s="119">
        <v>40</v>
      </c>
    </row>
    <row r="32" spans="1:16" x14ac:dyDescent="0.3">
      <c r="A32" s="45"/>
      <c r="B32" s="118" t="s">
        <v>67</v>
      </c>
      <c r="C32" s="230">
        <v>350</v>
      </c>
      <c r="D32" s="231"/>
      <c r="E32" s="230" t="s">
        <v>68</v>
      </c>
      <c r="F32" s="231"/>
      <c r="G32" s="119">
        <f>10+9.6+2+2+142+3+5+6+92.6</f>
        <v>272.2</v>
      </c>
      <c r="H32" s="120">
        <f>8+8+2+114+2.5+4+6+74</f>
        <v>218.5</v>
      </c>
    </row>
    <row r="33" spans="1:8" x14ac:dyDescent="0.3">
      <c r="A33" s="45"/>
      <c r="B33" s="118" t="s">
        <v>69</v>
      </c>
      <c r="C33" s="230">
        <v>200</v>
      </c>
      <c r="D33" s="231"/>
      <c r="E33" s="230" t="s">
        <v>70</v>
      </c>
      <c r="F33" s="231"/>
      <c r="G33" s="119">
        <f>100+14.3+20.7</f>
        <v>135</v>
      </c>
      <c r="H33" s="119">
        <f>100+10+18</f>
        <v>128</v>
      </c>
    </row>
    <row r="34" spans="1:8" ht="25.5" customHeight="1" x14ac:dyDescent="0.3">
      <c r="A34" s="45"/>
      <c r="B34" s="118" t="s">
        <v>71</v>
      </c>
      <c r="C34" s="230"/>
      <c r="D34" s="231"/>
      <c r="E34" s="230"/>
      <c r="F34" s="231"/>
      <c r="G34" s="119"/>
      <c r="H34" s="119"/>
    </row>
    <row r="35" spans="1:8" ht="26.4" x14ac:dyDescent="0.3">
      <c r="A35" s="45"/>
      <c r="B35" s="118" t="s">
        <v>72</v>
      </c>
      <c r="C35" s="230">
        <v>200</v>
      </c>
      <c r="D35" s="231"/>
      <c r="E35" s="230">
        <v>200</v>
      </c>
      <c r="F35" s="231"/>
      <c r="G35" s="119">
        <v>200</v>
      </c>
      <c r="H35" s="119">
        <v>200</v>
      </c>
    </row>
    <row r="36" spans="1:8" ht="26.4" x14ac:dyDescent="0.3">
      <c r="A36" s="45"/>
      <c r="B36" s="118" t="s">
        <v>73</v>
      </c>
      <c r="C36" s="230"/>
      <c r="D36" s="231"/>
      <c r="E36" s="230"/>
      <c r="F36" s="231"/>
      <c r="G36" s="119"/>
      <c r="H36" s="119"/>
    </row>
    <row r="37" spans="1:8" ht="26.4" x14ac:dyDescent="0.3">
      <c r="A37" s="45"/>
      <c r="B37" s="118" t="s">
        <v>75</v>
      </c>
      <c r="C37" s="230" t="s">
        <v>76</v>
      </c>
      <c r="D37" s="231"/>
      <c r="E37" s="230">
        <v>35</v>
      </c>
      <c r="F37" s="231"/>
      <c r="G37" s="119">
        <f>85+40</f>
        <v>125</v>
      </c>
      <c r="H37" s="119">
        <f>35+25</f>
        <v>60</v>
      </c>
    </row>
    <row r="38" spans="1:8" x14ac:dyDescent="0.3">
      <c r="A38" s="45"/>
      <c r="B38" s="118" t="s">
        <v>77</v>
      </c>
      <c r="C38" s="230">
        <v>60</v>
      </c>
      <c r="D38" s="231"/>
      <c r="E38" s="230">
        <v>58</v>
      </c>
      <c r="F38" s="231"/>
      <c r="G38" s="119"/>
      <c r="H38" s="119"/>
    </row>
    <row r="39" spans="1:8" x14ac:dyDescent="0.3">
      <c r="A39" s="45"/>
      <c r="B39" s="118" t="s">
        <v>78</v>
      </c>
      <c r="C39" s="230">
        <v>15</v>
      </c>
      <c r="D39" s="231"/>
      <c r="E39" s="230">
        <v>14.7</v>
      </c>
      <c r="F39" s="231"/>
      <c r="G39" s="119"/>
      <c r="H39" s="119"/>
    </row>
    <row r="40" spans="1:8" ht="26.4" x14ac:dyDescent="0.3">
      <c r="A40" s="45"/>
      <c r="B40" s="118" t="s">
        <v>79</v>
      </c>
      <c r="C40" s="230">
        <v>300</v>
      </c>
      <c r="D40" s="231"/>
      <c r="E40" s="230">
        <v>300</v>
      </c>
      <c r="F40" s="231"/>
      <c r="G40" s="119">
        <f>100+50+12</f>
        <v>162</v>
      </c>
      <c r="H40" s="119">
        <v>162</v>
      </c>
    </row>
    <row r="41" spans="1:8" ht="26.4" x14ac:dyDescent="0.3">
      <c r="A41" s="45"/>
      <c r="B41" s="118" t="s">
        <v>80</v>
      </c>
      <c r="C41" s="230">
        <v>150</v>
      </c>
      <c r="D41" s="231"/>
      <c r="E41" s="230">
        <v>150</v>
      </c>
      <c r="F41" s="231"/>
      <c r="G41" s="119">
        <v>150</v>
      </c>
      <c r="H41" s="119">
        <v>150</v>
      </c>
    </row>
    <row r="42" spans="1:8" ht="26.4" x14ac:dyDescent="0.3">
      <c r="A42" s="45"/>
      <c r="B42" s="118" t="s">
        <v>81</v>
      </c>
      <c r="C42" s="230">
        <v>50</v>
      </c>
      <c r="D42" s="231"/>
      <c r="E42" s="230">
        <v>50</v>
      </c>
      <c r="F42" s="231"/>
      <c r="G42" s="119"/>
      <c r="H42" s="119"/>
    </row>
    <row r="43" spans="1:8" x14ac:dyDescent="0.3">
      <c r="A43" s="45"/>
      <c r="B43" s="118" t="s">
        <v>82</v>
      </c>
      <c r="C43" s="230">
        <v>10</v>
      </c>
      <c r="D43" s="231"/>
      <c r="E43" s="230">
        <v>9.8000000000000007</v>
      </c>
      <c r="F43" s="231"/>
      <c r="G43" s="119"/>
      <c r="H43" s="120"/>
    </row>
    <row r="44" spans="1:8" ht="26.4" x14ac:dyDescent="0.3">
      <c r="A44" s="45"/>
      <c r="B44" s="118" t="s">
        <v>83</v>
      </c>
      <c r="C44" s="230">
        <v>10</v>
      </c>
      <c r="D44" s="231"/>
      <c r="E44" s="230">
        <v>10</v>
      </c>
      <c r="F44" s="231"/>
      <c r="G44" s="121"/>
      <c r="H44" s="121"/>
    </row>
    <row r="45" spans="1:8" x14ac:dyDescent="0.3">
      <c r="A45" s="45"/>
      <c r="B45" s="118" t="s">
        <v>84</v>
      </c>
      <c r="C45" s="230">
        <v>30</v>
      </c>
      <c r="D45" s="231"/>
      <c r="E45" s="230">
        <v>30</v>
      </c>
      <c r="F45" s="231"/>
      <c r="G45" s="119">
        <f>10+4+10+2+5+0.6</f>
        <v>31.6</v>
      </c>
      <c r="H45" s="119">
        <f>31.6</f>
        <v>31.6</v>
      </c>
    </row>
    <row r="46" spans="1:8" x14ac:dyDescent="0.3">
      <c r="A46" s="45"/>
      <c r="B46" s="118" t="s">
        <v>85</v>
      </c>
      <c r="C46" s="230">
        <v>15</v>
      </c>
      <c r="D46" s="231"/>
      <c r="E46" s="230">
        <v>15</v>
      </c>
      <c r="F46" s="231"/>
      <c r="G46" s="119">
        <f>2+4+3+5+0.15</f>
        <v>14.15</v>
      </c>
      <c r="H46" s="119">
        <v>14.15</v>
      </c>
    </row>
    <row r="47" spans="1:8" x14ac:dyDescent="0.3">
      <c r="A47" s="45"/>
      <c r="B47" s="118" t="s">
        <v>86</v>
      </c>
      <c r="C47" s="230" t="s">
        <v>87</v>
      </c>
      <c r="D47" s="231"/>
      <c r="E47" s="230">
        <v>40</v>
      </c>
      <c r="F47" s="231"/>
      <c r="G47" s="119">
        <v>40</v>
      </c>
      <c r="H47" s="119">
        <v>40</v>
      </c>
    </row>
    <row r="48" spans="1:8" x14ac:dyDescent="0.3">
      <c r="A48" s="45"/>
      <c r="B48" s="118" t="s">
        <v>88</v>
      </c>
      <c r="C48" s="230">
        <v>40</v>
      </c>
      <c r="D48" s="231"/>
      <c r="E48" s="232">
        <v>40</v>
      </c>
      <c r="F48" s="233"/>
      <c r="G48" s="119">
        <f>1+20+3+2+5.4+0.75</f>
        <v>32.15</v>
      </c>
      <c r="H48" s="119">
        <v>32.15</v>
      </c>
    </row>
    <row r="49" spans="1:8" x14ac:dyDescent="0.3">
      <c r="A49" s="45"/>
      <c r="B49" s="118" t="s">
        <v>89</v>
      </c>
      <c r="C49" s="232">
        <v>10</v>
      </c>
      <c r="D49" s="233"/>
      <c r="E49" s="230">
        <v>10</v>
      </c>
      <c r="F49" s="231"/>
      <c r="G49" s="119"/>
      <c r="H49" s="119"/>
    </row>
    <row r="50" spans="1:8" x14ac:dyDescent="0.3">
      <c r="A50" s="45"/>
      <c r="B50" s="118" t="s">
        <v>90</v>
      </c>
      <c r="C50" s="230">
        <v>0.4</v>
      </c>
      <c r="D50" s="231"/>
      <c r="E50" s="230">
        <v>0.4</v>
      </c>
      <c r="F50" s="231"/>
      <c r="G50" s="119"/>
      <c r="H50" s="119"/>
    </row>
    <row r="51" spans="1:8" x14ac:dyDescent="0.3">
      <c r="A51" s="45"/>
      <c r="B51" s="118" t="s">
        <v>91</v>
      </c>
      <c r="C51" s="230">
        <v>1.2</v>
      </c>
      <c r="D51" s="231"/>
      <c r="E51" s="230">
        <v>1.2</v>
      </c>
      <c r="F51" s="231"/>
      <c r="G51" s="119"/>
      <c r="H51" s="119"/>
    </row>
    <row r="52" spans="1:8" x14ac:dyDescent="0.3">
      <c r="A52" s="45"/>
      <c r="B52" s="118" t="s">
        <v>92</v>
      </c>
      <c r="C52" s="230">
        <v>1</v>
      </c>
      <c r="D52" s="231"/>
      <c r="E52" s="230">
        <v>1</v>
      </c>
      <c r="F52" s="231"/>
      <c r="G52" s="119"/>
      <c r="H52" s="119"/>
    </row>
    <row r="53" spans="1:8" x14ac:dyDescent="0.3">
      <c r="A53" s="45"/>
      <c r="B53" s="118" t="s">
        <v>93</v>
      </c>
      <c r="C53" s="230">
        <v>5</v>
      </c>
      <c r="D53" s="231"/>
      <c r="E53" s="230">
        <v>5</v>
      </c>
      <c r="F53" s="231"/>
      <c r="G53" s="119">
        <v>3.1</v>
      </c>
      <c r="H53" s="119">
        <v>3.1</v>
      </c>
    </row>
    <row r="54" spans="1:8" x14ac:dyDescent="0.3">
      <c r="A54" s="45"/>
      <c r="B54" s="45"/>
      <c r="C54" s="45"/>
      <c r="D54" s="45"/>
      <c r="E54" s="45"/>
      <c r="F54" s="45"/>
      <c r="G54" s="45"/>
      <c r="H54" s="45"/>
    </row>
    <row r="55" spans="1:8" x14ac:dyDescent="0.3">
      <c r="A55" s="45"/>
      <c r="B55" s="45"/>
      <c r="C55" s="45"/>
      <c r="D55" s="45"/>
      <c r="E55" s="45"/>
      <c r="F55" s="45"/>
      <c r="G55" s="45"/>
      <c r="H55" s="45"/>
    </row>
  </sheetData>
  <sheetProtection formatCells="0" formatColumns="0" formatRows="0" insertColumns="0" insertRows="0" insertHyperlinks="0" deleteColumns="0" deleteRows="0" sort="0" autoFilter="0" pivotTables="0"/>
  <mergeCells count="76">
    <mergeCell ref="E35:F35"/>
    <mergeCell ref="E34:F34"/>
    <mergeCell ref="E36:F36"/>
    <mergeCell ref="E37:F37"/>
    <mergeCell ref="E30:F30"/>
    <mergeCell ref="E31:F31"/>
    <mergeCell ref="E32:F32"/>
    <mergeCell ref="E33:F33"/>
    <mergeCell ref="E38:F38"/>
    <mergeCell ref="E40:F40"/>
    <mergeCell ref="E39:F39"/>
    <mergeCell ref="E41:F41"/>
    <mergeCell ref="E42:F42"/>
    <mergeCell ref="E43:F43"/>
    <mergeCell ref="E53:F5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C28:D28"/>
    <mergeCell ref="E28:F28"/>
    <mergeCell ref="C33:D33"/>
    <mergeCell ref="C32:D32"/>
    <mergeCell ref="C31:D31"/>
    <mergeCell ref="C30:D30"/>
    <mergeCell ref="C29:D29"/>
    <mergeCell ref="C41:D41"/>
    <mergeCell ref="C40:D40"/>
    <mergeCell ref="B17:E18"/>
    <mergeCell ref="C39:D39"/>
    <mergeCell ref="C38:D38"/>
    <mergeCell ref="C37:D37"/>
    <mergeCell ref="C36:D36"/>
    <mergeCell ref="C35:D35"/>
    <mergeCell ref="C34:D34"/>
    <mergeCell ref="E29:F29"/>
    <mergeCell ref="C27:D27"/>
    <mergeCell ref="C26:D26"/>
    <mergeCell ref="C25:D25"/>
    <mergeCell ref="E25:F25"/>
    <mergeCell ref="E26:F26"/>
    <mergeCell ref="E27:F27"/>
    <mergeCell ref="B24:B25"/>
    <mergeCell ref="C24:D24"/>
    <mergeCell ref="E24:F24"/>
    <mergeCell ref="A7:O7"/>
    <mergeCell ref="C53:D53"/>
    <mergeCell ref="C52:D52"/>
    <mergeCell ref="C51:D51"/>
    <mergeCell ref="C50:D50"/>
    <mergeCell ref="C49:D49"/>
    <mergeCell ref="C48:D48"/>
    <mergeCell ref="C47:D47"/>
    <mergeCell ref="C46:D46"/>
    <mergeCell ref="C44:D44"/>
    <mergeCell ref="C45:D45"/>
    <mergeCell ref="C43:D43"/>
    <mergeCell ref="C42:D42"/>
    <mergeCell ref="F17:H17"/>
    <mergeCell ref="B19:E19"/>
    <mergeCell ref="B20:E20"/>
    <mergeCell ref="G23:H23"/>
    <mergeCell ref="L5:O5"/>
    <mergeCell ref="H5:K5"/>
    <mergeCell ref="B22:H22"/>
    <mergeCell ref="C23:F23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rowBreaks count="1" manualBreakCount="1">
    <brk id="2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55"/>
  <sheetViews>
    <sheetView view="pageBreakPreview" zoomScale="90" zoomScaleNormal="100" zoomScaleSheetLayoutView="90" workbookViewId="0">
      <selection activeCell="A10" sqref="A10:XFD10"/>
    </sheetView>
  </sheetViews>
  <sheetFormatPr defaultRowHeight="14.4" x14ac:dyDescent="0.3"/>
  <cols>
    <col min="1" max="1" width="13.6640625" bestFit="1" customWidth="1"/>
    <col min="2" max="2" width="27.109375" customWidth="1"/>
    <col min="4" max="4" width="10.109375" bestFit="1" customWidth="1"/>
    <col min="6" max="6" width="11.88671875" customWidth="1"/>
    <col min="7" max="7" width="13.44140625" customWidth="1"/>
    <col min="11" max="11" width="13.44140625" customWidth="1"/>
  </cols>
  <sheetData>
    <row r="1" spans="1:15" ht="15.6" x14ac:dyDescent="0.3">
      <c r="A1" s="11" t="s">
        <v>32</v>
      </c>
      <c r="B1" s="10" t="s">
        <v>42</v>
      </c>
    </row>
    <row r="2" spans="1:15" ht="15.6" x14ac:dyDescent="0.3">
      <c r="A2" s="11" t="s">
        <v>34</v>
      </c>
      <c r="B2" s="10" t="s">
        <v>35</v>
      </c>
    </row>
    <row r="3" spans="1:15" ht="15.6" x14ac:dyDescent="0.3">
      <c r="A3" s="11" t="s">
        <v>36</v>
      </c>
      <c r="B3" s="10" t="s">
        <v>37</v>
      </c>
    </row>
    <row r="4" spans="1:15" ht="31.2" x14ac:dyDescent="0.3">
      <c r="A4" s="11" t="s">
        <v>38</v>
      </c>
      <c r="B4" s="18" t="s">
        <v>115</v>
      </c>
    </row>
    <row r="5" spans="1:15" ht="15.6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</row>
    <row r="6" spans="1:15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5" s="12" customFormat="1" ht="18" x14ac:dyDescent="0.3">
      <c r="A7" s="228" t="s">
        <v>20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15" s="12" customFormat="1" ht="41.4" x14ac:dyDescent="0.3">
      <c r="A8" s="123">
        <v>187</v>
      </c>
      <c r="B8" s="8" t="s">
        <v>103</v>
      </c>
      <c r="C8" s="109">
        <v>300</v>
      </c>
      <c r="D8" s="14">
        <f>(7.06/4)+0.8</f>
        <v>2.5649999999999999</v>
      </c>
      <c r="E8" s="14">
        <f>(19.8/4)+0.2</f>
        <v>5.15</v>
      </c>
      <c r="F8" s="14">
        <f>31.61/4</f>
        <v>7.9024999999999999</v>
      </c>
      <c r="G8" s="14">
        <v>198.8</v>
      </c>
      <c r="H8" s="14">
        <f>0.23/4</f>
        <v>5.7500000000000002E-2</v>
      </c>
      <c r="I8" s="14">
        <f>63.1/4</f>
        <v>15.775</v>
      </c>
      <c r="J8" s="14"/>
      <c r="K8" s="14">
        <f>9.4/4</f>
        <v>2.35</v>
      </c>
      <c r="L8" s="14">
        <f>(197/4)+2</f>
        <v>51.25</v>
      </c>
      <c r="M8" s="14">
        <f>196/4</f>
        <v>49</v>
      </c>
      <c r="N8" s="14">
        <f>88.5/4</f>
        <v>22.125</v>
      </c>
      <c r="O8" s="14">
        <f>3.3/4</f>
        <v>0.82499999999999996</v>
      </c>
    </row>
    <row r="9" spans="1:15" s="12" customFormat="1" x14ac:dyDescent="0.3">
      <c r="A9" s="123">
        <v>680</v>
      </c>
      <c r="B9" s="8" t="s">
        <v>17</v>
      </c>
      <c r="C9" s="13">
        <v>200</v>
      </c>
      <c r="D9" s="14">
        <f>57.32/100*15</f>
        <v>8.5980000000000008</v>
      </c>
      <c r="E9" s="14">
        <f>40.62/100*15</f>
        <v>6.0929999999999991</v>
      </c>
      <c r="F9" s="14">
        <f>257.61/100*15</f>
        <v>38.641500000000008</v>
      </c>
      <c r="G9" s="14">
        <v>270.38</v>
      </c>
      <c r="H9" s="14">
        <f>1.39/100*15</f>
        <v>0.20849999999999999</v>
      </c>
      <c r="I9" s="14"/>
      <c r="J9" s="14"/>
      <c r="K9" s="14">
        <f>4.05/100*15</f>
        <v>0.60750000000000004</v>
      </c>
      <c r="L9" s="14">
        <f>98.8/100*15</f>
        <v>14.82</v>
      </c>
      <c r="M9" s="14">
        <f>1359.5/100*15</f>
        <v>203.92500000000001</v>
      </c>
      <c r="N9" s="14">
        <f>905.5/100*15</f>
        <v>135.82499999999999</v>
      </c>
      <c r="O9" s="14">
        <f>30.4/100*15</f>
        <v>4.5599999999999996</v>
      </c>
    </row>
    <row r="10" spans="1:15" s="12" customFormat="1" x14ac:dyDescent="0.3">
      <c r="A10" s="123">
        <v>591</v>
      </c>
      <c r="B10" s="8" t="s">
        <v>123</v>
      </c>
      <c r="C10" s="13">
        <v>100</v>
      </c>
      <c r="D10" s="14">
        <v>23.46</v>
      </c>
      <c r="E10" s="14">
        <v>25.82</v>
      </c>
      <c r="F10" s="14">
        <v>0.5</v>
      </c>
      <c r="G10" s="14">
        <v>328</v>
      </c>
      <c r="H10" s="14"/>
      <c r="I10" s="14">
        <v>23.5</v>
      </c>
      <c r="J10" s="14">
        <v>0.08</v>
      </c>
      <c r="K10" s="14">
        <v>0.19</v>
      </c>
      <c r="L10" s="14">
        <v>56</v>
      </c>
      <c r="M10" s="14"/>
      <c r="N10" s="14">
        <v>20.28</v>
      </c>
      <c r="O10" s="14">
        <v>1.82</v>
      </c>
    </row>
    <row r="11" spans="1:15" s="12" customFormat="1" x14ac:dyDescent="0.3">
      <c r="A11" s="37">
        <v>1013</v>
      </c>
      <c r="B11" s="8" t="s">
        <v>100</v>
      </c>
      <c r="C11" s="84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15" s="12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2">
        <v>95.96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s="12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2">
        <v>97.52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x14ac:dyDescent="0.3">
      <c r="A14" s="88" t="s">
        <v>11</v>
      </c>
      <c r="B14" s="89"/>
      <c r="C14" s="89"/>
      <c r="D14" s="90">
        <f>SUM(D8:D13)</f>
        <v>41.02300000000001</v>
      </c>
      <c r="E14" s="90">
        <f>SUM(E8:E13)</f>
        <v>38.343000000000004</v>
      </c>
      <c r="F14" s="90">
        <f>SUM(F8:F13)</f>
        <v>106.32400000000001</v>
      </c>
      <c r="G14" s="90">
        <f>SUM(G8:G13)</f>
        <v>1075.46</v>
      </c>
      <c r="H14" s="90"/>
      <c r="I14" s="90"/>
      <c r="J14" s="90"/>
      <c r="K14" s="90"/>
      <c r="L14" s="90"/>
      <c r="M14" s="90"/>
      <c r="N14" s="90"/>
      <c r="O14" s="90"/>
    </row>
    <row r="15" spans="1:15" ht="27.6" x14ac:dyDescent="0.3">
      <c r="A15" s="88" t="s">
        <v>15</v>
      </c>
      <c r="B15" s="89"/>
      <c r="C15" s="89"/>
      <c r="D15" s="100">
        <v>25.39</v>
      </c>
      <c r="E15" s="100">
        <v>21.27</v>
      </c>
      <c r="F15" s="100">
        <v>116.07</v>
      </c>
      <c r="G15" s="100">
        <f>SUM(G8:G13)</f>
        <v>1075.46</v>
      </c>
      <c r="H15" s="97"/>
      <c r="I15" s="97"/>
      <c r="J15" s="97"/>
      <c r="K15" s="97"/>
      <c r="L15" s="97"/>
      <c r="M15" s="97"/>
      <c r="N15" s="97"/>
      <c r="O15" s="97"/>
    </row>
    <row r="16" spans="1:15" ht="15" thickBot="1" x14ac:dyDescent="0.35"/>
    <row r="17" spans="1:12" ht="40.200000000000003" thickBot="1" x14ac:dyDescent="0.35"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</row>
    <row r="18" spans="1:12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1:12" ht="15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</row>
    <row r="20" spans="1:12" ht="15" thickBot="1" x14ac:dyDescent="0.35">
      <c r="B20" s="174" t="s">
        <v>48</v>
      </c>
      <c r="C20" s="175"/>
      <c r="D20" s="175"/>
      <c r="E20" s="175"/>
      <c r="F20" s="33">
        <f>D15</f>
        <v>25.39</v>
      </c>
      <c r="G20" s="33">
        <f>E15</f>
        <v>21.27</v>
      </c>
      <c r="H20" s="33">
        <f>F15</f>
        <v>116.07</v>
      </c>
      <c r="I20" s="33">
        <f>G15</f>
        <v>1075.46</v>
      </c>
    </row>
    <row r="22" spans="1:12" ht="30.75" customHeight="1" x14ac:dyDescent="0.3">
      <c r="A22" s="15"/>
      <c r="B22" s="164" t="s">
        <v>94</v>
      </c>
      <c r="C22" s="164"/>
      <c r="D22" s="164"/>
      <c r="E22" s="164"/>
      <c r="F22" s="164"/>
      <c r="G22" s="164"/>
      <c r="H22" s="164"/>
    </row>
    <row r="23" spans="1:12" ht="21.75" customHeight="1" x14ac:dyDescent="0.3">
      <c r="A23" s="15"/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K23" s="11" t="s">
        <v>32</v>
      </c>
      <c r="L23" s="10" t="s">
        <v>42</v>
      </c>
    </row>
    <row r="24" spans="1:12" ht="21.75" customHeight="1" x14ac:dyDescent="0.3">
      <c r="A24" s="15"/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K24" s="11" t="s">
        <v>34</v>
      </c>
      <c r="L24" s="10" t="s">
        <v>35</v>
      </c>
    </row>
    <row r="25" spans="1:12" ht="28.8" x14ac:dyDescent="0.3">
      <c r="A25" s="15"/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K25" s="11" t="s">
        <v>36</v>
      </c>
      <c r="L25" s="10" t="s">
        <v>37</v>
      </c>
    </row>
    <row r="26" spans="1:12" ht="31.2" x14ac:dyDescent="0.3">
      <c r="A26" s="15"/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  <c r="K26" s="11" t="s">
        <v>38</v>
      </c>
      <c r="L26" s="10" t="s">
        <v>39</v>
      </c>
    </row>
    <row r="27" spans="1:12" x14ac:dyDescent="0.3">
      <c r="A27" s="15"/>
      <c r="B27" s="67" t="s">
        <v>61</v>
      </c>
      <c r="C27" s="181">
        <v>150</v>
      </c>
      <c r="D27" s="182"/>
      <c r="E27" s="181">
        <v>150</v>
      </c>
      <c r="F27" s="182"/>
      <c r="G27" s="68">
        <f>40+30+8</f>
        <v>78</v>
      </c>
      <c r="H27" s="68">
        <v>78</v>
      </c>
    </row>
    <row r="28" spans="1:12" x14ac:dyDescent="0.3">
      <c r="A28" s="15"/>
      <c r="B28" s="67" t="s">
        <v>62</v>
      </c>
      <c r="C28" s="181">
        <v>15</v>
      </c>
      <c r="D28" s="182"/>
      <c r="E28" s="181">
        <v>15</v>
      </c>
      <c r="F28" s="182"/>
      <c r="G28" s="68">
        <f>4+3.75+35.56+1.48</f>
        <v>44.79</v>
      </c>
      <c r="H28" s="68">
        <v>44.79</v>
      </c>
    </row>
    <row r="29" spans="1:12" x14ac:dyDescent="0.3">
      <c r="A29" s="15"/>
      <c r="B29" s="69" t="s">
        <v>63</v>
      </c>
      <c r="C29" s="183">
        <v>45</v>
      </c>
      <c r="D29" s="184"/>
      <c r="E29" s="183">
        <v>45</v>
      </c>
      <c r="F29" s="184"/>
      <c r="G29" s="70">
        <f>40+35</f>
        <v>75</v>
      </c>
      <c r="H29" s="70">
        <v>75</v>
      </c>
    </row>
    <row r="30" spans="1:12" x14ac:dyDescent="0.3">
      <c r="A30" s="15"/>
      <c r="B30" s="67" t="s">
        <v>64</v>
      </c>
      <c r="C30" s="181">
        <v>15</v>
      </c>
      <c r="D30" s="182"/>
      <c r="E30" s="181">
        <v>15</v>
      </c>
      <c r="F30" s="182"/>
      <c r="G30" s="68"/>
      <c r="H30" s="68"/>
    </row>
    <row r="31" spans="1:12" x14ac:dyDescent="0.3">
      <c r="A31" s="15"/>
      <c r="B31" s="67" t="s">
        <v>65</v>
      </c>
      <c r="C31" s="181" t="s">
        <v>66</v>
      </c>
      <c r="D31" s="182"/>
      <c r="E31" s="185">
        <v>188</v>
      </c>
      <c r="F31" s="186"/>
      <c r="G31" s="68">
        <v>40</v>
      </c>
      <c r="H31" s="68">
        <v>30</v>
      </c>
    </row>
    <row r="32" spans="1:12" x14ac:dyDescent="0.3">
      <c r="A32" s="15"/>
      <c r="B32" s="67" t="s">
        <v>67</v>
      </c>
      <c r="C32" s="181">
        <v>350</v>
      </c>
      <c r="D32" s="182"/>
      <c r="E32" s="181" t="s">
        <v>68</v>
      </c>
      <c r="F32" s="182"/>
      <c r="G32" s="68">
        <f>85.6+24+5+63+12.5+3.25+12+2.5</f>
        <v>207.85</v>
      </c>
      <c r="H32" s="83">
        <f>67+20+50+10+2.5+10+2.5</f>
        <v>162</v>
      </c>
    </row>
    <row r="33" spans="1:8" x14ac:dyDescent="0.3">
      <c r="A33" s="15"/>
      <c r="B33" s="67" t="s">
        <v>69</v>
      </c>
      <c r="C33" s="181">
        <v>200</v>
      </c>
      <c r="D33" s="182"/>
      <c r="E33" s="181" t="s">
        <v>70</v>
      </c>
      <c r="F33" s="182"/>
      <c r="G33" s="68">
        <f>35.7+100</f>
        <v>135.69999999999999</v>
      </c>
      <c r="H33" s="68">
        <v>135.69999999999999</v>
      </c>
    </row>
    <row r="34" spans="1:8" ht="26.4" x14ac:dyDescent="0.3">
      <c r="A34" s="15"/>
      <c r="B34" s="67" t="s">
        <v>71</v>
      </c>
      <c r="C34" s="181">
        <v>15</v>
      </c>
      <c r="D34" s="182"/>
      <c r="E34" s="181">
        <v>15</v>
      </c>
      <c r="F34" s="182"/>
      <c r="G34" s="68"/>
      <c r="H34" s="68"/>
    </row>
    <row r="35" spans="1:8" ht="39.6" x14ac:dyDescent="0.3">
      <c r="A35" s="15"/>
      <c r="B35" s="67" t="s">
        <v>72</v>
      </c>
      <c r="C35" s="181">
        <v>200</v>
      </c>
      <c r="D35" s="182"/>
      <c r="E35" s="181">
        <v>200</v>
      </c>
      <c r="F35" s="182"/>
      <c r="G35" s="68">
        <v>200</v>
      </c>
      <c r="H35" s="68">
        <v>200</v>
      </c>
    </row>
    <row r="36" spans="1:8" ht="26.4" x14ac:dyDescent="0.3">
      <c r="A36" s="15"/>
      <c r="B36" s="67" t="s">
        <v>73</v>
      </c>
      <c r="C36" s="181" t="s">
        <v>74</v>
      </c>
      <c r="D36" s="182"/>
      <c r="E36" s="181">
        <v>70</v>
      </c>
      <c r="F36" s="182"/>
      <c r="G36" s="83">
        <f>52+40</f>
        <v>92</v>
      </c>
      <c r="H36" s="68">
        <f>38+25</f>
        <v>63</v>
      </c>
    </row>
    <row r="37" spans="1:8" ht="26.4" x14ac:dyDescent="0.3">
      <c r="A37" s="15"/>
      <c r="B37" s="67" t="s">
        <v>75</v>
      </c>
      <c r="C37" s="181" t="s">
        <v>76</v>
      </c>
      <c r="D37" s="182"/>
      <c r="E37" s="181">
        <v>35</v>
      </c>
      <c r="F37" s="182"/>
      <c r="G37" s="68"/>
      <c r="H37" s="68"/>
    </row>
    <row r="38" spans="1:8" x14ac:dyDescent="0.3">
      <c r="A38" s="15"/>
      <c r="B38" s="67" t="s">
        <v>77</v>
      </c>
      <c r="C38" s="181">
        <v>60</v>
      </c>
      <c r="D38" s="182"/>
      <c r="E38" s="181">
        <v>58</v>
      </c>
      <c r="F38" s="182"/>
      <c r="G38" s="68"/>
      <c r="H38" s="68"/>
    </row>
    <row r="39" spans="1:8" x14ac:dyDescent="0.3">
      <c r="A39" s="15"/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1:8" ht="26.4" x14ac:dyDescent="0.3">
      <c r="A40" s="15"/>
      <c r="B40" s="67" t="s">
        <v>79</v>
      </c>
      <c r="C40" s="181">
        <v>300</v>
      </c>
      <c r="D40" s="182"/>
      <c r="E40" s="181">
        <v>300</v>
      </c>
      <c r="F40" s="182"/>
      <c r="G40" s="68">
        <f>100+211+100</f>
        <v>411</v>
      </c>
      <c r="H40" s="68">
        <f>400</f>
        <v>400</v>
      </c>
    </row>
    <row r="41" spans="1:8" ht="39.6" x14ac:dyDescent="0.3">
      <c r="A41" s="15"/>
      <c r="B41" s="67" t="s">
        <v>80</v>
      </c>
      <c r="C41" s="181">
        <v>150</v>
      </c>
      <c r="D41" s="182"/>
      <c r="E41" s="181">
        <v>150</v>
      </c>
      <c r="F41" s="182"/>
      <c r="G41" s="68"/>
      <c r="H41" s="68"/>
    </row>
    <row r="42" spans="1:8" ht="26.4" x14ac:dyDescent="0.3">
      <c r="A42" s="15"/>
      <c r="B42" s="67" t="s">
        <v>81</v>
      </c>
      <c r="C42" s="181">
        <v>50</v>
      </c>
      <c r="D42" s="182"/>
      <c r="E42" s="181">
        <v>50</v>
      </c>
      <c r="F42" s="182"/>
      <c r="G42" s="68"/>
      <c r="H42" s="68"/>
    </row>
    <row r="43" spans="1:8" x14ac:dyDescent="0.3">
      <c r="A43" s="15"/>
      <c r="B43" s="67" t="s">
        <v>82</v>
      </c>
      <c r="C43" s="181">
        <v>10</v>
      </c>
      <c r="D43" s="182"/>
      <c r="E43" s="181">
        <v>9.8000000000000007</v>
      </c>
      <c r="F43" s="182"/>
      <c r="G43" s="68"/>
      <c r="H43" s="83"/>
    </row>
    <row r="44" spans="1:8" ht="26.4" x14ac:dyDescent="0.3">
      <c r="A44" s="15"/>
      <c r="B44" s="67" t="s">
        <v>83</v>
      </c>
      <c r="C44" s="181">
        <v>10</v>
      </c>
      <c r="D44" s="182"/>
      <c r="E44" s="181">
        <v>10</v>
      </c>
      <c r="F44" s="182"/>
      <c r="G44" s="73"/>
      <c r="H44" s="73"/>
    </row>
    <row r="45" spans="1:8" x14ac:dyDescent="0.3">
      <c r="A45" s="15"/>
      <c r="B45" s="67" t="s">
        <v>84</v>
      </c>
      <c r="C45" s="181">
        <v>30</v>
      </c>
      <c r="D45" s="182"/>
      <c r="E45" s="181">
        <v>30</v>
      </c>
      <c r="F45" s="182"/>
      <c r="G45" s="68">
        <f>10+10+1.1+1.5+1.3+5</f>
        <v>28.900000000000002</v>
      </c>
      <c r="H45" s="68">
        <v>28.9</v>
      </c>
    </row>
    <row r="46" spans="1:8" x14ac:dyDescent="0.3">
      <c r="A46" s="15"/>
      <c r="B46" s="67" t="s">
        <v>85</v>
      </c>
      <c r="C46" s="181">
        <v>15</v>
      </c>
      <c r="D46" s="182"/>
      <c r="E46" s="181">
        <v>15</v>
      </c>
      <c r="F46" s="182"/>
      <c r="G46" s="68">
        <f>6+3+3+5</f>
        <v>17</v>
      </c>
      <c r="H46" s="68">
        <v>17</v>
      </c>
    </row>
    <row r="47" spans="1:8" x14ac:dyDescent="0.3">
      <c r="A47" s="15"/>
      <c r="B47" s="67" t="s">
        <v>86</v>
      </c>
      <c r="C47" s="181" t="s">
        <v>87</v>
      </c>
      <c r="D47" s="182"/>
      <c r="E47" s="181">
        <v>40</v>
      </c>
      <c r="F47" s="182"/>
      <c r="G47" s="68"/>
      <c r="H47" s="68"/>
    </row>
    <row r="48" spans="1:8" x14ac:dyDescent="0.3">
      <c r="A48" s="15"/>
      <c r="B48" s="67" t="s">
        <v>88</v>
      </c>
      <c r="C48" s="181">
        <v>40</v>
      </c>
      <c r="D48" s="182"/>
      <c r="E48" s="185">
        <v>40</v>
      </c>
      <c r="F48" s="186"/>
      <c r="G48" s="68">
        <f>20+6+3+3.7+1</f>
        <v>33.700000000000003</v>
      </c>
      <c r="H48" s="68">
        <v>33.700000000000003</v>
      </c>
    </row>
    <row r="49" spans="1:8" x14ac:dyDescent="0.3">
      <c r="A49" s="15"/>
      <c r="B49" s="67" t="s">
        <v>89</v>
      </c>
      <c r="C49" s="185">
        <v>10</v>
      </c>
      <c r="D49" s="186"/>
      <c r="E49" s="181">
        <v>10</v>
      </c>
      <c r="F49" s="182"/>
      <c r="G49" s="68"/>
      <c r="H49" s="68"/>
    </row>
    <row r="50" spans="1:8" x14ac:dyDescent="0.3">
      <c r="A50" s="15"/>
      <c r="B50" s="67" t="s">
        <v>90</v>
      </c>
      <c r="C50" s="181">
        <v>0.4</v>
      </c>
      <c r="D50" s="182"/>
      <c r="E50" s="181">
        <v>0.4</v>
      </c>
      <c r="F50" s="182"/>
      <c r="G50" s="68">
        <v>1</v>
      </c>
      <c r="H50" s="68">
        <v>1</v>
      </c>
    </row>
    <row r="51" spans="1:8" x14ac:dyDescent="0.3">
      <c r="A51" s="15"/>
      <c r="B51" s="67" t="s">
        <v>91</v>
      </c>
      <c r="C51" s="181">
        <v>1.2</v>
      </c>
      <c r="D51" s="182"/>
      <c r="E51" s="181">
        <v>1.2</v>
      </c>
      <c r="F51" s="182"/>
      <c r="G51" s="68"/>
      <c r="H51" s="68"/>
    </row>
    <row r="52" spans="1:8" x14ac:dyDescent="0.3">
      <c r="A52" s="15"/>
      <c r="B52" s="67" t="s">
        <v>92</v>
      </c>
      <c r="C52" s="181">
        <v>1</v>
      </c>
      <c r="D52" s="182"/>
      <c r="E52" s="181">
        <v>1</v>
      </c>
      <c r="F52" s="182"/>
      <c r="G52" s="68"/>
      <c r="H52" s="68"/>
    </row>
    <row r="53" spans="1:8" x14ac:dyDescent="0.3">
      <c r="A53" s="15"/>
      <c r="B53" s="67" t="s">
        <v>93</v>
      </c>
      <c r="C53" s="181">
        <v>5</v>
      </c>
      <c r="D53" s="182"/>
      <c r="E53" s="181">
        <v>5</v>
      </c>
      <c r="F53" s="182"/>
      <c r="G53" s="68">
        <v>3.56</v>
      </c>
      <c r="H53" s="68">
        <v>3.56</v>
      </c>
    </row>
    <row r="54" spans="1:8" x14ac:dyDescent="0.3">
      <c r="A54" s="15"/>
      <c r="B54" s="15"/>
      <c r="C54" s="15"/>
      <c r="D54" s="15"/>
      <c r="E54" s="15"/>
      <c r="F54" s="15"/>
      <c r="G54" s="15"/>
      <c r="H54" s="15"/>
    </row>
    <row r="55" spans="1:8" x14ac:dyDescent="0.3">
      <c r="A55" s="15"/>
      <c r="B55" s="15"/>
      <c r="C55" s="15"/>
      <c r="D55" s="15"/>
      <c r="E55" s="15"/>
      <c r="F55" s="15"/>
      <c r="G55" s="15"/>
      <c r="H55" s="15"/>
    </row>
  </sheetData>
  <sheetProtection formatCells="0" formatColumns="0" formatRows="0" insertColumns="0" insertRows="0" insertHyperlinks="0" deleteColumns="0" deleteRows="0" sort="0" autoFilter="0" pivotTables="0"/>
  <mergeCells count="76">
    <mergeCell ref="E53:F53"/>
    <mergeCell ref="E44:F44"/>
    <mergeCell ref="E45:F45"/>
    <mergeCell ref="E46:F46"/>
    <mergeCell ref="C33:D33"/>
    <mergeCell ref="E34:F34"/>
    <mergeCell ref="E35:F35"/>
    <mergeCell ref="E47:F47"/>
    <mergeCell ref="E48:F48"/>
    <mergeCell ref="E39:F39"/>
    <mergeCell ref="C53:D53"/>
    <mergeCell ref="C52:D52"/>
    <mergeCell ref="C51:D51"/>
    <mergeCell ref="C50:D50"/>
    <mergeCell ref="C49:D49"/>
    <mergeCell ref="C48:D48"/>
    <mergeCell ref="C32:D32"/>
    <mergeCell ref="C31:D31"/>
    <mergeCell ref="C30:D30"/>
    <mergeCell ref="C29:D29"/>
    <mergeCell ref="C38:D38"/>
    <mergeCell ref="C37:D37"/>
    <mergeCell ref="C36:D36"/>
    <mergeCell ref="C35:D35"/>
    <mergeCell ref="C34:D34"/>
    <mergeCell ref="E29:F29"/>
    <mergeCell ref="E30:F30"/>
    <mergeCell ref="E31:F31"/>
    <mergeCell ref="E32:F32"/>
    <mergeCell ref="E33:F33"/>
    <mergeCell ref="C42:D42"/>
    <mergeCell ref="C41:D41"/>
    <mergeCell ref="C40:D40"/>
    <mergeCell ref="C39:D39"/>
    <mergeCell ref="E50:F50"/>
    <mergeCell ref="C47:D47"/>
    <mergeCell ref="C46:D46"/>
    <mergeCell ref="C45:D45"/>
    <mergeCell ref="C44:D44"/>
    <mergeCell ref="C43:D43"/>
    <mergeCell ref="E51:F51"/>
    <mergeCell ref="E49:F49"/>
    <mergeCell ref="E52:F52"/>
    <mergeCell ref="E42:F42"/>
    <mergeCell ref="E43:F43"/>
    <mergeCell ref="E36:F36"/>
    <mergeCell ref="E37:F37"/>
    <mergeCell ref="E38:F38"/>
    <mergeCell ref="E40:F40"/>
    <mergeCell ref="E41:F41"/>
    <mergeCell ref="C26:D26"/>
    <mergeCell ref="E26:F26"/>
    <mergeCell ref="C28:D28"/>
    <mergeCell ref="C27:D27"/>
    <mergeCell ref="E27:F27"/>
    <mergeCell ref="E28:F28"/>
    <mergeCell ref="B22:H22"/>
    <mergeCell ref="C23:F23"/>
    <mergeCell ref="B24:B25"/>
    <mergeCell ref="C24:D24"/>
    <mergeCell ref="E24:F24"/>
    <mergeCell ref="G23:H23"/>
    <mergeCell ref="E25:F25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6" fitToWidth="2" fitToHeight="2" orientation="landscape" r:id="rId1"/>
  <rowBreaks count="1" manualBreakCount="1">
    <brk id="2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73"/>
  <sheetViews>
    <sheetView view="pageBreakPreview" zoomScale="80" zoomScaleNormal="90" zoomScaleSheetLayoutView="80" workbookViewId="0">
      <selection activeCell="C13" sqref="C13"/>
    </sheetView>
  </sheetViews>
  <sheetFormatPr defaultRowHeight="14.4" x14ac:dyDescent="0.3"/>
  <cols>
    <col min="1" max="1" width="12.6640625" bestFit="1" customWidth="1"/>
    <col min="2" max="2" width="24.5546875" customWidth="1"/>
    <col min="7" max="7" width="12.6640625" customWidth="1"/>
    <col min="10" max="10" width="10.109375" bestFit="1" customWidth="1"/>
  </cols>
  <sheetData>
    <row r="1" spans="1:15" ht="15.6" x14ac:dyDescent="0.3">
      <c r="A1" s="11" t="s">
        <v>32</v>
      </c>
      <c r="B1" s="10" t="s">
        <v>43</v>
      </c>
    </row>
    <row r="2" spans="1:15" ht="15.6" x14ac:dyDescent="0.3">
      <c r="A2" s="11" t="s">
        <v>34</v>
      </c>
      <c r="B2" s="10" t="s">
        <v>35</v>
      </c>
    </row>
    <row r="3" spans="1:15" ht="15.6" x14ac:dyDescent="0.3">
      <c r="A3" s="11" t="s">
        <v>36</v>
      </c>
      <c r="B3" s="10" t="s">
        <v>37</v>
      </c>
    </row>
    <row r="4" spans="1:15" ht="31.2" x14ac:dyDescent="0.3">
      <c r="A4" s="11" t="s">
        <v>38</v>
      </c>
      <c r="B4" s="18" t="s">
        <v>115</v>
      </c>
    </row>
    <row r="5" spans="1:15" ht="15.6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</row>
    <row r="6" spans="1:15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5" s="12" customFormat="1" ht="18" x14ac:dyDescent="0.3">
      <c r="B7" s="47"/>
      <c r="C7" s="47"/>
      <c r="D7" s="47"/>
      <c r="E7" s="47"/>
      <c r="F7" s="47"/>
      <c r="G7" s="44" t="s">
        <v>20</v>
      </c>
      <c r="H7" s="47"/>
      <c r="I7" s="47"/>
      <c r="J7" s="47"/>
      <c r="K7" s="47"/>
      <c r="L7" s="47"/>
      <c r="M7" s="47"/>
      <c r="N7" s="47"/>
      <c r="O7" s="48"/>
    </row>
    <row r="8" spans="1:15" s="21" customFormat="1" ht="41.4" x14ac:dyDescent="0.3">
      <c r="A8" s="123">
        <v>206</v>
      </c>
      <c r="B8" s="8" t="s">
        <v>102</v>
      </c>
      <c r="C8" s="13">
        <v>300</v>
      </c>
      <c r="D8" s="14">
        <f>0.7 +4.9</f>
        <v>5.6000000000000005</v>
      </c>
      <c r="E8" s="14">
        <f xml:space="preserve"> 0.175+10.66</f>
        <v>10.835000000000001</v>
      </c>
      <c r="F8" s="14">
        <v>19.23</v>
      </c>
      <c r="G8" s="14">
        <v>167.43</v>
      </c>
      <c r="H8" s="14">
        <v>0.15</v>
      </c>
      <c r="I8" s="14">
        <v>5.83</v>
      </c>
      <c r="J8" s="14"/>
      <c r="K8" s="14">
        <v>2.4500000000000002</v>
      </c>
      <c r="L8" s="14">
        <f>(10/1000*175)+41.48</f>
        <v>43.23</v>
      </c>
      <c r="M8" s="14">
        <v>137.78</v>
      </c>
      <c r="N8" s="14">
        <v>38.25</v>
      </c>
      <c r="O8" s="14">
        <v>1.83</v>
      </c>
    </row>
    <row r="9" spans="1:15" s="128" customFormat="1" x14ac:dyDescent="0.3">
      <c r="A9" s="126">
        <v>618</v>
      </c>
      <c r="B9" s="125" t="s">
        <v>122</v>
      </c>
      <c r="C9" s="126">
        <v>110</v>
      </c>
      <c r="D9" s="127">
        <v>7.83</v>
      </c>
      <c r="E9" s="127">
        <v>8.75</v>
      </c>
      <c r="F9" s="127">
        <v>10.25</v>
      </c>
      <c r="G9" s="127">
        <v>151</v>
      </c>
      <c r="H9" s="127">
        <v>0.05</v>
      </c>
      <c r="I9" s="127">
        <v>0.72</v>
      </c>
      <c r="J9" s="127">
        <v>33.92</v>
      </c>
      <c r="K9" s="127">
        <v>0.55000000000000004</v>
      </c>
      <c r="L9" s="127">
        <v>27.95</v>
      </c>
      <c r="M9" s="127">
        <v>88.37</v>
      </c>
      <c r="N9" s="127">
        <v>18.329999999999998</v>
      </c>
      <c r="O9" s="127">
        <v>0.87</v>
      </c>
    </row>
    <row r="10" spans="1:15" s="12" customFormat="1" x14ac:dyDescent="0.3">
      <c r="A10" s="123">
        <v>312</v>
      </c>
      <c r="B10" s="8" t="s">
        <v>13</v>
      </c>
      <c r="C10" s="13">
        <v>200</v>
      </c>
      <c r="D10" s="14">
        <f>20.473/100*15</f>
        <v>3.0709499999999998</v>
      </c>
      <c r="E10" s="14">
        <f>32.01/100/15</f>
        <v>2.1340000000000001E-2</v>
      </c>
      <c r="F10" s="14">
        <f>136.26/100*15</f>
        <v>20.438999999999997</v>
      </c>
      <c r="G10" s="14">
        <v>200.25</v>
      </c>
      <c r="H10" s="14">
        <f>0.93/100*15</f>
        <v>0.13950000000000001</v>
      </c>
      <c r="I10" s="14">
        <f>121.07/100*15</f>
        <v>18.160499999999999</v>
      </c>
      <c r="J10" s="14"/>
      <c r="K10" s="14">
        <f>1.21/100*15</f>
        <v>0.18149999999999999</v>
      </c>
      <c r="L10" s="14">
        <f>246.5/100*15</f>
        <v>36.974999999999994</v>
      </c>
      <c r="M10" s="14">
        <f>577.3/100*15</f>
        <v>86.594999999999999</v>
      </c>
      <c r="N10" s="14">
        <f>185/100*15</f>
        <v>27.75</v>
      </c>
      <c r="O10" s="14">
        <f>6.73/100*15</f>
        <v>1.0095000000000001</v>
      </c>
    </row>
    <row r="11" spans="1:15" s="124" customFormat="1" x14ac:dyDescent="0.3">
      <c r="A11" s="37">
        <v>1013</v>
      </c>
      <c r="B11" s="8" t="s">
        <v>100</v>
      </c>
      <c r="C11" s="37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15" s="12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5" s="12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12" customFormat="1" x14ac:dyDescent="0.3">
      <c r="A14" s="88" t="s">
        <v>11</v>
      </c>
      <c r="B14" s="89"/>
      <c r="C14" s="89"/>
      <c r="D14" s="97">
        <f>SUM(D8:D13)</f>
        <v>22.900949999999998</v>
      </c>
      <c r="E14" s="97">
        <f>SUM(E8:E13)</f>
        <v>20.886339999999997</v>
      </c>
      <c r="F14" s="97">
        <f>SUM(F8:F13)</f>
        <v>109.19900000000001</v>
      </c>
      <c r="G14" s="97">
        <f>SUM(G8:G13)</f>
        <v>788.96</v>
      </c>
      <c r="H14" s="97"/>
      <c r="I14" s="97"/>
      <c r="J14" s="97"/>
      <c r="K14" s="97"/>
      <c r="L14" s="97"/>
      <c r="M14" s="97"/>
      <c r="N14" s="97"/>
      <c r="O14" s="97"/>
    </row>
    <row r="15" spans="1:15" ht="15" customHeight="1" x14ac:dyDescent="0.3">
      <c r="A15" s="88" t="s">
        <v>15</v>
      </c>
      <c r="B15" s="89"/>
      <c r="C15" s="89"/>
      <c r="D15" s="100">
        <v>38.53</v>
      </c>
      <c r="E15" s="100">
        <v>37.96</v>
      </c>
      <c r="F15" s="100">
        <v>99.45</v>
      </c>
      <c r="G15" s="100">
        <v>965.96</v>
      </c>
      <c r="H15" s="99"/>
      <c r="I15" s="99"/>
      <c r="J15" s="99"/>
      <c r="K15" s="99"/>
      <c r="L15" s="99"/>
      <c r="M15" s="99"/>
      <c r="N15" s="99"/>
      <c r="O15" s="99"/>
    </row>
    <row r="16" spans="1:15" ht="15" thickBot="1" x14ac:dyDescent="0.35"/>
    <row r="17" spans="1:15" ht="40.200000000000003" thickBot="1" x14ac:dyDescent="0.35">
      <c r="A17" s="15"/>
      <c r="B17" s="15"/>
      <c r="C17" s="167" t="s">
        <v>45</v>
      </c>
      <c r="D17" s="168"/>
      <c r="E17" s="168"/>
      <c r="F17" s="168"/>
      <c r="G17" s="171" t="s">
        <v>46</v>
      </c>
      <c r="H17" s="172"/>
      <c r="I17" s="173"/>
      <c r="J17" s="30" t="s">
        <v>47</v>
      </c>
      <c r="K17" s="15"/>
      <c r="L17" s="15"/>
      <c r="M17" s="15"/>
      <c r="N17" s="15"/>
      <c r="O17" s="15"/>
    </row>
    <row r="18" spans="1:15" s="12" customFormat="1" ht="15" thickBot="1" x14ac:dyDescent="0.35">
      <c r="A18" s="34"/>
      <c r="B18" s="35"/>
      <c r="C18" s="169"/>
      <c r="D18" s="170"/>
      <c r="E18" s="170"/>
      <c r="F18" s="170"/>
      <c r="G18" s="31" t="s">
        <v>1</v>
      </c>
      <c r="H18" s="31" t="s">
        <v>2</v>
      </c>
      <c r="I18" s="31" t="s">
        <v>3</v>
      </c>
      <c r="J18" s="32"/>
      <c r="K18" s="36"/>
      <c r="L18" s="36"/>
      <c r="M18" s="36"/>
      <c r="N18" s="36"/>
      <c r="O18" s="36"/>
    </row>
    <row r="19" spans="1:15" ht="15" thickBot="1" x14ac:dyDescent="0.35">
      <c r="A19" s="15"/>
      <c r="B19" s="15"/>
      <c r="C19" s="174" t="s">
        <v>49</v>
      </c>
      <c r="D19" s="175"/>
      <c r="E19" s="175"/>
      <c r="F19" s="175"/>
      <c r="G19" s="31" t="s">
        <v>50</v>
      </c>
      <c r="H19" s="31" t="s">
        <v>51</v>
      </c>
      <c r="I19" s="31" t="s">
        <v>52</v>
      </c>
      <c r="J19" s="31" t="s">
        <v>116</v>
      </c>
      <c r="K19" s="15"/>
      <c r="L19" s="15"/>
      <c r="M19" s="15"/>
      <c r="N19" s="15"/>
      <c r="O19" s="15"/>
    </row>
    <row r="20" spans="1:15" ht="15" thickBot="1" x14ac:dyDescent="0.35">
      <c r="A20" s="15"/>
      <c r="B20" s="15"/>
      <c r="C20" s="174" t="s">
        <v>48</v>
      </c>
      <c r="D20" s="175"/>
      <c r="E20" s="175"/>
      <c r="F20" s="175"/>
      <c r="G20" s="33">
        <f>D15</f>
        <v>38.53</v>
      </c>
      <c r="H20" s="33">
        <f>E15</f>
        <v>37.96</v>
      </c>
      <c r="I20" s="33">
        <f>F15</f>
        <v>99.45</v>
      </c>
      <c r="J20" s="33">
        <f>G15</f>
        <v>965.96</v>
      </c>
      <c r="K20" s="15"/>
      <c r="L20" s="15"/>
      <c r="M20" s="15"/>
      <c r="N20" s="15"/>
      <c r="O20" s="15"/>
    </row>
    <row r="21" spans="1:15" x14ac:dyDescent="0.3">
      <c r="K21" s="15"/>
      <c r="L21" s="15"/>
      <c r="M21" s="15"/>
      <c r="N21" s="15"/>
      <c r="O21" s="15"/>
    </row>
    <row r="22" spans="1:15" ht="47.25" customHeight="1" x14ac:dyDescent="0.3">
      <c r="B22" s="164" t="s">
        <v>94</v>
      </c>
      <c r="C22" s="164"/>
      <c r="D22" s="164"/>
      <c r="E22" s="164"/>
      <c r="F22" s="164"/>
      <c r="G22" s="164"/>
      <c r="H22" s="164"/>
    </row>
    <row r="23" spans="1:15" ht="27" customHeight="1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K23" s="11" t="s">
        <v>32</v>
      </c>
      <c r="L23" s="10" t="s">
        <v>43</v>
      </c>
    </row>
    <row r="24" spans="1:15" ht="31.2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K24" s="11" t="s">
        <v>34</v>
      </c>
      <c r="L24" s="10" t="s">
        <v>35</v>
      </c>
    </row>
    <row r="25" spans="1:15" ht="28.8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K25" s="11" t="s">
        <v>36</v>
      </c>
      <c r="L25" s="10" t="s">
        <v>37</v>
      </c>
    </row>
    <row r="26" spans="1:15" ht="62.4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  <c r="K26" s="11" t="s">
        <v>38</v>
      </c>
      <c r="L26" s="10" t="s">
        <v>39</v>
      </c>
    </row>
    <row r="27" spans="1:15" x14ac:dyDescent="0.3">
      <c r="B27" s="67" t="s">
        <v>61</v>
      </c>
      <c r="C27" s="181">
        <v>150</v>
      </c>
      <c r="D27" s="182"/>
      <c r="E27" s="181">
        <v>150</v>
      </c>
      <c r="F27" s="182"/>
      <c r="G27" s="68">
        <f>50+40</f>
        <v>90</v>
      </c>
      <c r="H27" s="68">
        <v>90</v>
      </c>
    </row>
    <row r="28" spans="1:15" x14ac:dyDescent="0.3">
      <c r="B28" s="67" t="s">
        <v>62</v>
      </c>
      <c r="C28" s="181">
        <v>15</v>
      </c>
      <c r="D28" s="182"/>
      <c r="E28" s="181">
        <v>15</v>
      </c>
      <c r="F28" s="182"/>
      <c r="G28" s="68">
        <f>3+3.75+2.8</f>
        <v>9.5500000000000007</v>
      </c>
      <c r="H28" s="68">
        <f>9.55</f>
        <v>9.5500000000000007</v>
      </c>
    </row>
    <row r="29" spans="1:15" x14ac:dyDescent="0.3">
      <c r="B29" s="69" t="s">
        <v>63</v>
      </c>
      <c r="C29" s="183">
        <v>45</v>
      </c>
      <c r="D29" s="184"/>
      <c r="E29" s="183">
        <v>45</v>
      </c>
      <c r="F29" s="184"/>
      <c r="G29" s="70">
        <f>21+31</f>
        <v>52</v>
      </c>
      <c r="H29" s="70">
        <v>52</v>
      </c>
    </row>
    <row r="30" spans="1:15" x14ac:dyDescent="0.3">
      <c r="B30" s="67" t="s">
        <v>64</v>
      </c>
      <c r="C30" s="181">
        <v>15</v>
      </c>
      <c r="D30" s="182"/>
      <c r="E30" s="181">
        <v>15</v>
      </c>
      <c r="F30" s="182"/>
      <c r="G30" s="68"/>
      <c r="H30" s="68"/>
    </row>
    <row r="31" spans="1:15" x14ac:dyDescent="0.3">
      <c r="B31" s="67" t="s">
        <v>65</v>
      </c>
      <c r="C31" s="181" t="s">
        <v>66</v>
      </c>
      <c r="D31" s="182"/>
      <c r="E31" s="185">
        <v>188</v>
      </c>
      <c r="F31" s="186"/>
      <c r="G31" s="68">
        <f>67+171</f>
        <v>238</v>
      </c>
      <c r="H31" s="68">
        <f>50+129</f>
        <v>179</v>
      </c>
    </row>
    <row r="32" spans="1:15" x14ac:dyDescent="0.3">
      <c r="B32" s="67" t="s">
        <v>67</v>
      </c>
      <c r="C32" s="181">
        <v>350</v>
      </c>
      <c r="D32" s="182"/>
      <c r="E32" s="181" t="s">
        <v>68</v>
      </c>
      <c r="F32" s="182"/>
      <c r="G32" s="68">
        <f>12+12.5+3.25+98.6+12.5</f>
        <v>138.85</v>
      </c>
      <c r="H32" s="83">
        <f>10+10+2.5+78.9+10</f>
        <v>111.4</v>
      </c>
    </row>
    <row r="33" spans="2:8" x14ac:dyDescent="0.3">
      <c r="B33" s="67" t="s">
        <v>69</v>
      </c>
      <c r="C33" s="181">
        <v>200</v>
      </c>
      <c r="D33" s="182"/>
      <c r="E33" s="181" t="s">
        <v>70</v>
      </c>
      <c r="F33" s="182"/>
      <c r="G33" s="68">
        <v>134</v>
      </c>
      <c r="H33" s="68">
        <v>130</v>
      </c>
    </row>
    <row r="34" spans="2:8" ht="26.4" x14ac:dyDescent="0.3">
      <c r="B34" s="67" t="s">
        <v>71</v>
      </c>
      <c r="C34" s="181">
        <v>15</v>
      </c>
      <c r="D34" s="182"/>
      <c r="E34" s="181">
        <v>15</v>
      </c>
      <c r="F34" s="182"/>
      <c r="G34" s="68"/>
      <c r="H34" s="68"/>
    </row>
    <row r="35" spans="2:8" ht="55.5" customHeight="1" x14ac:dyDescent="0.3">
      <c r="B35" s="67" t="s">
        <v>72</v>
      </c>
      <c r="C35" s="181">
        <v>200</v>
      </c>
      <c r="D35" s="182"/>
      <c r="E35" s="181">
        <v>200</v>
      </c>
      <c r="F35" s="182"/>
      <c r="G35" s="68"/>
      <c r="H35" s="68"/>
    </row>
    <row r="36" spans="2:8" ht="26.4" x14ac:dyDescent="0.3">
      <c r="B36" s="67" t="s">
        <v>73</v>
      </c>
      <c r="C36" s="181" t="s">
        <v>74</v>
      </c>
      <c r="D36" s="182"/>
      <c r="E36" s="181">
        <v>70</v>
      </c>
      <c r="F36" s="182"/>
      <c r="G36" s="68">
        <f>81+40</f>
        <v>121</v>
      </c>
      <c r="H36" s="68">
        <f>71+25</f>
        <v>96</v>
      </c>
    </row>
    <row r="37" spans="2:8" ht="26.4" x14ac:dyDescent="0.3">
      <c r="B37" s="67" t="s">
        <v>75</v>
      </c>
      <c r="C37" s="181" t="s">
        <v>76</v>
      </c>
      <c r="D37" s="182"/>
      <c r="E37" s="181">
        <v>35</v>
      </c>
      <c r="F37" s="182"/>
      <c r="G37" s="68"/>
      <c r="H37" s="68"/>
    </row>
    <row r="38" spans="2:8" x14ac:dyDescent="0.3">
      <c r="B38" s="67" t="s">
        <v>77</v>
      </c>
      <c r="C38" s="181">
        <v>60</v>
      </c>
      <c r="D38" s="182"/>
      <c r="E38" s="181">
        <v>58</v>
      </c>
      <c r="F38" s="182"/>
      <c r="G38" s="68"/>
      <c r="H38" s="68"/>
    </row>
    <row r="39" spans="2:8" x14ac:dyDescent="0.3"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2:8" ht="26.4" x14ac:dyDescent="0.3">
      <c r="B40" s="67" t="s">
        <v>79</v>
      </c>
      <c r="C40" s="181">
        <v>300</v>
      </c>
      <c r="D40" s="182"/>
      <c r="E40" s="181">
        <v>300</v>
      </c>
      <c r="F40" s="182"/>
      <c r="G40" s="68">
        <f>100+24+1.92</f>
        <v>125.92</v>
      </c>
      <c r="H40" s="68">
        <v>125.92</v>
      </c>
    </row>
    <row r="41" spans="2:8" ht="39.6" x14ac:dyDescent="0.3">
      <c r="B41" s="67" t="s">
        <v>80</v>
      </c>
      <c r="C41" s="181">
        <v>150</v>
      </c>
      <c r="D41" s="182"/>
      <c r="E41" s="181">
        <v>150</v>
      </c>
      <c r="F41" s="182"/>
      <c r="G41" s="68">
        <v>207</v>
      </c>
      <c r="H41" s="68">
        <v>200</v>
      </c>
    </row>
    <row r="42" spans="2:8" ht="26.4" x14ac:dyDescent="0.3">
      <c r="B42" s="67" t="s">
        <v>81</v>
      </c>
      <c r="C42" s="181">
        <v>50</v>
      </c>
      <c r="D42" s="182"/>
      <c r="E42" s="181">
        <v>50</v>
      </c>
      <c r="F42" s="182"/>
      <c r="G42" s="68"/>
      <c r="H42" s="68"/>
    </row>
    <row r="43" spans="2:8" x14ac:dyDescent="0.3">
      <c r="B43" s="67" t="s">
        <v>82</v>
      </c>
      <c r="C43" s="181">
        <v>10</v>
      </c>
      <c r="D43" s="182"/>
      <c r="E43" s="181">
        <v>9.8000000000000007</v>
      </c>
      <c r="F43" s="182"/>
      <c r="G43" s="68"/>
      <c r="H43" s="83"/>
    </row>
    <row r="44" spans="2:8" ht="26.4" x14ac:dyDescent="0.3">
      <c r="B44" s="67" t="s">
        <v>83</v>
      </c>
      <c r="C44" s="181">
        <v>10</v>
      </c>
      <c r="D44" s="182"/>
      <c r="E44" s="181">
        <v>10</v>
      </c>
      <c r="F44" s="182"/>
      <c r="G44" s="73">
        <v>12.5</v>
      </c>
      <c r="H44" s="73">
        <v>12.5</v>
      </c>
    </row>
    <row r="45" spans="2:8" x14ac:dyDescent="0.3">
      <c r="B45" s="67" t="s">
        <v>84</v>
      </c>
      <c r="C45" s="181">
        <v>30</v>
      </c>
      <c r="D45" s="182"/>
      <c r="E45" s="181">
        <v>30</v>
      </c>
      <c r="F45" s="182"/>
      <c r="G45" s="68">
        <f>5+10+5+10+5.25+3.87</f>
        <v>39.119999999999997</v>
      </c>
      <c r="H45" s="68">
        <f>39.12</f>
        <v>39.119999999999997</v>
      </c>
    </row>
    <row r="46" spans="2:8" x14ac:dyDescent="0.3">
      <c r="B46" s="67" t="s">
        <v>85</v>
      </c>
      <c r="C46" s="181">
        <v>15</v>
      </c>
      <c r="D46" s="182"/>
      <c r="E46" s="181">
        <v>15</v>
      </c>
      <c r="F46" s="182"/>
      <c r="G46" s="68">
        <v>5</v>
      </c>
      <c r="H46" s="68">
        <v>5</v>
      </c>
    </row>
    <row r="47" spans="2:8" x14ac:dyDescent="0.3">
      <c r="B47" s="67" t="s">
        <v>86</v>
      </c>
      <c r="C47" s="181" t="s">
        <v>87</v>
      </c>
      <c r="D47" s="182"/>
      <c r="E47" s="181">
        <v>40</v>
      </c>
      <c r="F47" s="182"/>
      <c r="G47" s="68">
        <v>40</v>
      </c>
      <c r="H47" s="68">
        <v>40</v>
      </c>
    </row>
    <row r="48" spans="2:8" x14ac:dyDescent="0.3">
      <c r="B48" s="67" t="s">
        <v>88</v>
      </c>
      <c r="C48" s="181">
        <v>40</v>
      </c>
      <c r="D48" s="182"/>
      <c r="E48" s="185">
        <v>40</v>
      </c>
      <c r="F48" s="186"/>
      <c r="G48" s="68">
        <f>20+6+5+5.6</f>
        <v>36.6</v>
      </c>
      <c r="H48" s="68">
        <v>36.6</v>
      </c>
    </row>
    <row r="49" spans="2:8" x14ac:dyDescent="0.3">
      <c r="B49" s="67" t="s">
        <v>89</v>
      </c>
      <c r="C49" s="185">
        <v>10</v>
      </c>
      <c r="D49" s="186"/>
      <c r="E49" s="181">
        <v>10</v>
      </c>
      <c r="F49" s="182"/>
      <c r="G49" s="68">
        <v>20</v>
      </c>
      <c r="H49" s="68">
        <v>20</v>
      </c>
    </row>
    <row r="50" spans="2:8" x14ac:dyDescent="0.3">
      <c r="B50" s="67" t="s">
        <v>90</v>
      </c>
      <c r="C50" s="181">
        <v>0.4</v>
      </c>
      <c r="D50" s="182"/>
      <c r="E50" s="181">
        <v>0.4</v>
      </c>
      <c r="F50" s="182"/>
      <c r="G50" s="68">
        <v>1</v>
      </c>
      <c r="H50" s="68">
        <v>1</v>
      </c>
    </row>
    <row r="51" spans="2:8" x14ac:dyDescent="0.3">
      <c r="B51" s="67" t="s">
        <v>91</v>
      </c>
      <c r="C51" s="181">
        <v>1.2</v>
      </c>
      <c r="D51" s="182"/>
      <c r="E51" s="181">
        <v>1.2</v>
      </c>
      <c r="F51" s="182"/>
      <c r="G51" s="68"/>
      <c r="H51" s="68"/>
    </row>
    <row r="52" spans="2:8" x14ac:dyDescent="0.3">
      <c r="B52" s="67" t="s">
        <v>92</v>
      </c>
      <c r="C52" s="181">
        <v>1</v>
      </c>
      <c r="D52" s="182"/>
      <c r="E52" s="181">
        <v>1</v>
      </c>
      <c r="F52" s="182"/>
      <c r="G52" s="68"/>
      <c r="H52" s="68"/>
    </row>
    <row r="53" spans="2:8" x14ac:dyDescent="0.3">
      <c r="B53" s="67" t="s">
        <v>93</v>
      </c>
      <c r="C53" s="181">
        <v>5</v>
      </c>
      <c r="D53" s="182"/>
      <c r="E53" s="181">
        <v>5</v>
      </c>
      <c r="F53" s="182"/>
      <c r="G53" s="68">
        <v>3</v>
      </c>
      <c r="H53" s="68">
        <v>3</v>
      </c>
    </row>
    <row r="54" spans="2:8" x14ac:dyDescent="0.3">
      <c r="B54" s="15"/>
      <c r="C54" s="15"/>
      <c r="D54" s="15"/>
      <c r="E54" s="15"/>
      <c r="F54" s="15"/>
      <c r="G54" s="15"/>
      <c r="H54" s="15"/>
    </row>
    <row r="55" spans="2:8" x14ac:dyDescent="0.3">
      <c r="B55" s="15"/>
      <c r="C55" s="15"/>
      <c r="D55" s="15"/>
      <c r="E55" s="15"/>
      <c r="F55" s="15"/>
      <c r="G55" s="15"/>
      <c r="H55" s="15"/>
    </row>
    <row r="56" spans="2:8" x14ac:dyDescent="0.3">
      <c r="B56" s="15"/>
      <c r="C56" s="15"/>
      <c r="D56" s="15"/>
      <c r="E56" s="15"/>
      <c r="F56" s="15"/>
      <c r="G56" s="15"/>
      <c r="H56" s="15"/>
    </row>
    <row r="57" spans="2:8" x14ac:dyDescent="0.3">
      <c r="B57" s="15"/>
      <c r="C57" s="15"/>
      <c r="D57" s="15"/>
      <c r="E57" s="15"/>
      <c r="F57" s="15"/>
      <c r="G57" s="15"/>
      <c r="H57" s="15"/>
    </row>
    <row r="58" spans="2:8" x14ac:dyDescent="0.3">
      <c r="B58" s="15"/>
      <c r="C58" s="15"/>
      <c r="D58" s="15"/>
      <c r="E58" s="15"/>
      <c r="F58" s="15"/>
      <c r="G58" s="15"/>
      <c r="H58" s="15"/>
    </row>
    <row r="59" spans="2:8" x14ac:dyDescent="0.3">
      <c r="B59" s="15"/>
      <c r="C59" s="15"/>
      <c r="D59" s="15"/>
      <c r="E59" s="15"/>
      <c r="F59" s="15"/>
      <c r="G59" s="15"/>
      <c r="H59" s="15"/>
    </row>
    <row r="60" spans="2:8" x14ac:dyDescent="0.3">
      <c r="B60" s="15"/>
      <c r="C60" s="15"/>
      <c r="D60" s="15"/>
      <c r="E60" s="15"/>
      <c r="F60" s="15"/>
      <c r="G60" s="15"/>
      <c r="H60" s="15"/>
    </row>
    <row r="61" spans="2:8" x14ac:dyDescent="0.3">
      <c r="B61" s="15"/>
      <c r="C61" s="15"/>
      <c r="D61" s="15"/>
      <c r="E61" s="15"/>
      <c r="F61" s="15"/>
      <c r="G61" s="15"/>
      <c r="H61" s="15"/>
    </row>
    <row r="62" spans="2:8" x14ac:dyDescent="0.3">
      <c r="B62" s="15"/>
      <c r="C62" s="15"/>
      <c r="D62" s="15"/>
      <c r="E62" s="15"/>
      <c r="F62" s="15"/>
      <c r="G62" s="15"/>
      <c r="H62" s="15"/>
    </row>
    <row r="63" spans="2:8" x14ac:dyDescent="0.3">
      <c r="B63" s="15"/>
      <c r="C63" s="15"/>
      <c r="D63" s="15"/>
      <c r="E63" s="15"/>
      <c r="F63" s="15"/>
      <c r="G63" s="15"/>
      <c r="H63" s="15"/>
    </row>
    <row r="64" spans="2:8" x14ac:dyDescent="0.3">
      <c r="B64" s="15"/>
      <c r="C64" s="15"/>
      <c r="D64" s="15"/>
      <c r="E64" s="15"/>
      <c r="F64" s="15"/>
      <c r="G64" s="15"/>
      <c r="H64" s="15"/>
    </row>
    <row r="65" spans="2:8" x14ac:dyDescent="0.3">
      <c r="B65" s="15"/>
      <c r="C65" s="15"/>
      <c r="D65" s="15"/>
      <c r="E65" s="15"/>
      <c r="F65" s="15"/>
      <c r="G65" s="15"/>
      <c r="H65" s="15"/>
    </row>
    <row r="66" spans="2:8" x14ac:dyDescent="0.3">
      <c r="B66" s="15"/>
      <c r="C66" s="15"/>
      <c r="D66" s="15"/>
      <c r="E66" s="15"/>
      <c r="F66" s="15"/>
      <c r="G66" s="15"/>
      <c r="H66" s="15"/>
    </row>
    <row r="67" spans="2:8" x14ac:dyDescent="0.3">
      <c r="B67" s="15"/>
      <c r="C67" s="15"/>
      <c r="D67" s="15"/>
      <c r="E67" s="15"/>
      <c r="F67" s="15"/>
      <c r="G67" s="15"/>
      <c r="H67" s="15"/>
    </row>
    <row r="68" spans="2:8" x14ac:dyDescent="0.3">
      <c r="B68" s="15"/>
      <c r="C68" s="15"/>
      <c r="D68" s="15"/>
      <c r="E68" s="15"/>
      <c r="F68" s="15"/>
      <c r="G68" s="15"/>
      <c r="H68" s="15"/>
    </row>
    <row r="69" spans="2:8" x14ac:dyDescent="0.3">
      <c r="B69" s="15"/>
      <c r="C69" s="15"/>
      <c r="D69" s="15"/>
      <c r="E69" s="15"/>
      <c r="F69" s="15"/>
      <c r="G69" s="15"/>
      <c r="H69" s="15"/>
    </row>
    <row r="70" spans="2:8" x14ac:dyDescent="0.3">
      <c r="B70" s="15"/>
      <c r="C70" s="15"/>
      <c r="D70" s="15"/>
      <c r="E70" s="15"/>
      <c r="F70" s="15"/>
      <c r="G70" s="15"/>
      <c r="H70" s="15"/>
    </row>
    <row r="71" spans="2:8" x14ac:dyDescent="0.3">
      <c r="B71" s="15"/>
      <c r="C71" s="15"/>
      <c r="D71" s="15"/>
      <c r="E71" s="15"/>
      <c r="F71" s="15"/>
      <c r="G71" s="15"/>
      <c r="H71" s="15"/>
    </row>
    <row r="72" spans="2:8" x14ac:dyDescent="0.3">
      <c r="B72" s="15"/>
      <c r="C72" s="15"/>
      <c r="D72" s="15"/>
      <c r="E72" s="15"/>
      <c r="F72" s="15"/>
      <c r="G72" s="15"/>
      <c r="H72" s="15"/>
    </row>
    <row r="73" spans="2:8" x14ac:dyDescent="0.3">
      <c r="B73" s="15"/>
      <c r="C73" s="15"/>
      <c r="D73" s="15"/>
      <c r="E73" s="15"/>
      <c r="F73" s="15"/>
      <c r="G73" s="15"/>
      <c r="H73" s="15"/>
    </row>
  </sheetData>
  <sheetProtection formatCells="0" formatColumns="0" formatRows="0" insertColumns="0" insertRows="0" insertHyperlinks="0" deleteColumns="0" deleteRows="0" sort="0" autoFilter="0" pivotTables="0"/>
  <mergeCells count="75">
    <mergeCell ref="E34:F34"/>
    <mergeCell ref="E33:F33"/>
    <mergeCell ref="E32:F32"/>
    <mergeCell ref="E31:F31"/>
    <mergeCell ref="E30:F30"/>
    <mergeCell ref="E39:F39"/>
    <mergeCell ref="E38:F38"/>
    <mergeCell ref="E37:F37"/>
    <mergeCell ref="E36:F36"/>
    <mergeCell ref="E35:F35"/>
    <mergeCell ref="E44:F44"/>
    <mergeCell ref="E43:F43"/>
    <mergeCell ref="E42:F42"/>
    <mergeCell ref="E41:F41"/>
    <mergeCell ref="E40:F40"/>
    <mergeCell ref="E49:F49"/>
    <mergeCell ref="E48:F48"/>
    <mergeCell ref="E47:F47"/>
    <mergeCell ref="E46:F46"/>
    <mergeCell ref="E45:F45"/>
    <mergeCell ref="C50:D50"/>
    <mergeCell ref="C51:D51"/>
    <mergeCell ref="C52:D52"/>
    <mergeCell ref="C53:D53"/>
    <mergeCell ref="E53:F53"/>
    <mergeCell ref="E52:F52"/>
    <mergeCell ref="E51:F51"/>
    <mergeCell ref="E50:F50"/>
    <mergeCell ref="C45:D45"/>
    <mergeCell ref="C46:D46"/>
    <mergeCell ref="C47:D47"/>
    <mergeCell ref="C48:D48"/>
    <mergeCell ref="C49:D49"/>
    <mergeCell ref="C40:D40"/>
    <mergeCell ref="C41:D41"/>
    <mergeCell ref="C42:D42"/>
    <mergeCell ref="C44:D44"/>
    <mergeCell ref="C43:D43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6:D26"/>
    <mergeCell ref="C27:D27"/>
    <mergeCell ref="C28:D28"/>
    <mergeCell ref="C29:D29"/>
    <mergeCell ref="E29:F29"/>
    <mergeCell ref="E28:F28"/>
    <mergeCell ref="E26:F26"/>
    <mergeCell ref="E27:F27"/>
    <mergeCell ref="C23:F23"/>
    <mergeCell ref="B24:B25"/>
    <mergeCell ref="C24:D24"/>
    <mergeCell ref="E24:F24"/>
    <mergeCell ref="G23:H23"/>
    <mergeCell ref="C25:D25"/>
    <mergeCell ref="E25:F25"/>
    <mergeCell ref="C17:F18"/>
    <mergeCell ref="G17:I17"/>
    <mergeCell ref="C19:F19"/>
    <mergeCell ref="C20:F20"/>
    <mergeCell ref="B22:H22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67" fitToWidth="2" fitToHeight="2" orientation="landscape" r:id="rId1"/>
  <rowBreaks count="1" manualBreakCount="1">
    <brk id="2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A61"/>
  <sheetViews>
    <sheetView view="pageBreakPreview" zoomScale="80" zoomScaleNormal="90" zoomScaleSheetLayoutView="80" workbookViewId="0">
      <selection activeCell="C13" sqref="C13"/>
    </sheetView>
  </sheetViews>
  <sheetFormatPr defaultRowHeight="14.4" x14ac:dyDescent="0.3"/>
  <cols>
    <col min="1" max="1" width="13.109375" customWidth="1"/>
    <col min="2" max="2" width="31.109375" style="10" customWidth="1"/>
    <col min="7" max="7" width="13.109375" customWidth="1"/>
    <col min="8" max="8" width="10.88671875" customWidth="1"/>
    <col min="9" max="9" width="11.109375" customWidth="1"/>
    <col min="11" max="11" width="10.6640625" customWidth="1"/>
    <col min="13" max="13" width="9.5546875" bestFit="1" customWidth="1"/>
    <col min="17" max="27" width="9.109375" style="15"/>
  </cols>
  <sheetData>
    <row r="1" spans="1:27" ht="15.6" x14ac:dyDescent="0.3">
      <c r="A1" s="11" t="s">
        <v>32</v>
      </c>
      <c r="B1" s="10" t="s">
        <v>33</v>
      </c>
    </row>
    <row r="2" spans="1:27" ht="15.6" x14ac:dyDescent="0.3">
      <c r="A2" s="11" t="s">
        <v>34</v>
      </c>
      <c r="B2" s="10" t="s">
        <v>55</v>
      </c>
    </row>
    <row r="3" spans="1:27" ht="15.6" x14ac:dyDescent="0.3">
      <c r="A3" s="11" t="s">
        <v>36</v>
      </c>
      <c r="B3" s="10" t="s">
        <v>37</v>
      </c>
    </row>
    <row r="4" spans="1:27" ht="31.2" x14ac:dyDescent="0.3">
      <c r="A4" s="11" t="s">
        <v>38</v>
      </c>
      <c r="B4" s="18" t="s">
        <v>115</v>
      </c>
    </row>
    <row r="5" spans="1:27" ht="15.6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  <c r="Q5"/>
      <c r="R5"/>
      <c r="S5"/>
      <c r="T5"/>
      <c r="U5"/>
      <c r="V5"/>
      <c r="W5"/>
      <c r="X5"/>
      <c r="Y5"/>
      <c r="Z5"/>
      <c r="AA5"/>
    </row>
    <row r="6" spans="1:27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  <c r="Q6"/>
      <c r="R6"/>
      <c r="S6"/>
      <c r="T6"/>
      <c r="U6"/>
      <c r="V6"/>
      <c r="W6"/>
      <c r="X6"/>
      <c r="Y6"/>
      <c r="Z6"/>
      <c r="AA6"/>
    </row>
    <row r="7" spans="1:27" s="12" customFormat="1" ht="18" x14ac:dyDescent="0.3">
      <c r="A7" s="227" t="s">
        <v>20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27" s="12" customFormat="1" ht="27.6" x14ac:dyDescent="0.3">
      <c r="A8" s="123">
        <v>187</v>
      </c>
      <c r="B8" s="8" t="s">
        <v>103</v>
      </c>
      <c r="C8" s="123">
        <v>300</v>
      </c>
      <c r="D8" s="14">
        <f>(7.06/4)+0.8</f>
        <v>2.5649999999999999</v>
      </c>
      <c r="E8" s="14">
        <f>(19.8/4)+0.2</f>
        <v>5.15</v>
      </c>
      <c r="F8" s="14">
        <f>31.61/4</f>
        <v>7.9024999999999999</v>
      </c>
      <c r="G8" s="14">
        <v>147.75</v>
      </c>
      <c r="H8" s="14">
        <f>0.23/4</f>
        <v>5.7500000000000002E-2</v>
      </c>
      <c r="I8" s="14">
        <f>63.1/4</f>
        <v>15.775</v>
      </c>
      <c r="J8" s="14"/>
      <c r="K8" s="14">
        <f>9.4/4</f>
        <v>2.35</v>
      </c>
      <c r="L8" s="14">
        <f>(197/4)+2</f>
        <v>51.25</v>
      </c>
      <c r="M8" s="14">
        <f>196/4</f>
        <v>49</v>
      </c>
      <c r="N8" s="14">
        <f>88.5/4</f>
        <v>22.125</v>
      </c>
      <c r="O8" s="14">
        <f>3.3/4</f>
        <v>0.82499999999999996</v>
      </c>
    </row>
    <row r="9" spans="1:27" s="12" customFormat="1" x14ac:dyDescent="0.3">
      <c r="A9" s="123">
        <v>688</v>
      </c>
      <c r="B9" s="8" t="s">
        <v>12</v>
      </c>
      <c r="C9" s="123">
        <v>200</v>
      </c>
      <c r="D9" s="14">
        <f>36.78/100*15</f>
        <v>5.5170000000000003</v>
      </c>
      <c r="E9" s="14">
        <f>30.1/100*15</f>
        <v>4.5149999999999997</v>
      </c>
      <c r="F9" s="14">
        <f>176.3/100*15</f>
        <v>26.445</v>
      </c>
      <c r="G9" s="14">
        <v>191.45</v>
      </c>
      <c r="H9" s="14">
        <f>0.37/100*15</f>
        <v>5.5500000000000001E-2</v>
      </c>
      <c r="I9" s="14"/>
      <c r="J9" s="14"/>
      <c r="K9" s="14">
        <f>6.46/100*15</f>
        <v>0.96900000000000008</v>
      </c>
      <c r="L9" s="14">
        <f>32.4/100*15</f>
        <v>4.8600000000000003</v>
      </c>
      <c r="M9" s="14">
        <f>247.8/100*15</f>
        <v>37.17</v>
      </c>
      <c r="N9" s="14">
        <f>140.8/100*15</f>
        <v>21.12</v>
      </c>
      <c r="O9" s="14">
        <f>7.37/100*15</f>
        <v>1.1054999999999999</v>
      </c>
    </row>
    <row r="10" spans="1:27" s="12" customFormat="1" x14ac:dyDescent="0.3">
      <c r="A10" s="123">
        <v>618</v>
      </c>
      <c r="B10" s="8" t="s">
        <v>122</v>
      </c>
      <c r="C10" s="123">
        <v>110</v>
      </c>
      <c r="D10" s="14">
        <v>7.83</v>
      </c>
      <c r="E10" s="14">
        <v>8.75</v>
      </c>
      <c r="F10" s="14">
        <v>10.25</v>
      </c>
      <c r="G10" s="14">
        <v>151</v>
      </c>
      <c r="H10" s="14">
        <v>0.05</v>
      </c>
      <c r="I10" s="14">
        <v>0.72</v>
      </c>
      <c r="J10" s="14">
        <v>33.92</v>
      </c>
      <c r="K10" s="14">
        <v>0.55000000000000004</v>
      </c>
      <c r="L10" s="14">
        <v>27.95</v>
      </c>
      <c r="M10" s="14">
        <v>88.37</v>
      </c>
      <c r="N10" s="14">
        <v>18.329999999999998</v>
      </c>
      <c r="O10" s="14">
        <v>0.87</v>
      </c>
    </row>
    <row r="11" spans="1:27" s="9" customFormat="1" ht="23.25" customHeight="1" x14ac:dyDescent="0.3">
      <c r="A11" s="123">
        <v>1013</v>
      </c>
      <c r="B11" s="8" t="s">
        <v>100</v>
      </c>
      <c r="C11" s="84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s="124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27" s="124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27" s="22" customFormat="1" ht="16.2" customHeight="1" x14ac:dyDescent="0.3">
      <c r="A14" s="88" t="s">
        <v>11</v>
      </c>
      <c r="B14" s="89"/>
      <c r="C14" s="89"/>
      <c r="D14" s="97">
        <f>SUM(D8:D13)</f>
        <v>22.312000000000001</v>
      </c>
      <c r="E14" s="97">
        <f>SUM(E8:E13)</f>
        <v>19.694999999999997</v>
      </c>
      <c r="F14" s="97">
        <f>SUM(F8:F13)</f>
        <v>103.8775</v>
      </c>
      <c r="G14" s="97">
        <f>SUM(G8:G13)</f>
        <v>760.48</v>
      </c>
      <c r="H14" s="97"/>
      <c r="I14" s="97"/>
      <c r="J14" s="97"/>
      <c r="K14" s="97"/>
      <c r="L14" s="97"/>
      <c r="M14" s="97"/>
      <c r="N14" s="97"/>
      <c r="O14" s="97"/>
      <c r="Q14" s="46"/>
      <c r="R14" s="46"/>
      <c r="S14" s="49"/>
      <c r="T14" s="82"/>
      <c r="U14" s="82"/>
      <c r="V14" s="82"/>
      <c r="W14" s="82"/>
      <c r="X14" s="82"/>
      <c r="Y14" s="82"/>
      <c r="Z14" s="82"/>
      <c r="AA14" s="82"/>
    </row>
    <row r="15" spans="1:27" x14ac:dyDescent="0.3">
      <c r="A15" s="101" t="s">
        <v>15</v>
      </c>
      <c r="B15" s="102"/>
      <c r="C15" s="102"/>
      <c r="D15" s="91">
        <v>22.31</v>
      </c>
      <c r="E15" s="91">
        <v>19.7</v>
      </c>
      <c r="F15" s="91" t="s">
        <v>104</v>
      </c>
      <c r="G15" s="91">
        <v>760.48</v>
      </c>
      <c r="H15" s="97"/>
      <c r="I15" s="97"/>
      <c r="J15" s="97"/>
      <c r="K15" s="97"/>
      <c r="L15" s="97"/>
      <c r="M15" s="97"/>
      <c r="N15" s="97"/>
      <c r="O15" s="97"/>
    </row>
    <row r="16" spans="1:27" ht="15" thickBot="1" x14ac:dyDescent="0.35"/>
    <row r="17" spans="1:15" ht="27" thickBot="1" x14ac:dyDescent="0.35">
      <c r="A17" s="28"/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  <c r="J17" s="29"/>
      <c r="K17" s="29"/>
      <c r="L17" s="29"/>
      <c r="M17" s="29"/>
      <c r="N17" s="29"/>
      <c r="O17" s="29"/>
    </row>
    <row r="18" spans="1:15" ht="43.5" customHeight="1" thickBot="1" x14ac:dyDescent="0.35">
      <c r="A18" s="28"/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  <c r="J18" s="29"/>
      <c r="K18" s="29"/>
      <c r="L18" s="29"/>
      <c r="M18" s="29"/>
      <c r="N18" s="29"/>
      <c r="O18" s="29"/>
    </row>
    <row r="19" spans="1:15" ht="21.75" customHeight="1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</row>
    <row r="20" spans="1:15" ht="15" thickBot="1" x14ac:dyDescent="0.35">
      <c r="B20" s="174" t="s">
        <v>48</v>
      </c>
      <c r="C20" s="175"/>
      <c r="D20" s="175"/>
      <c r="E20" s="175"/>
      <c r="F20" s="33">
        <f>D15</f>
        <v>22.31</v>
      </c>
      <c r="G20" s="33">
        <f>E15</f>
        <v>19.7</v>
      </c>
      <c r="H20" s="33" t="str">
        <f>F15</f>
        <v>103.88</v>
      </c>
      <c r="I20" s="33">
        <f>G15</f>
        <v>760.48</v>
      </c>
    </row>
    <row r="22" spans="1:15" ht="28.5" customHeight="1" x14ac:dyDescent="0.3">
      <c r="B22" s="164" t="s">
        <v>94</v>
      </c>
      <c r="C22" s="164"/>
      <c r="D22" s="164"/>
      <c r="E22" s="164"/>
      <c r="F22" s="164"/>
      <c r="G22" s="164"/>
      <c r="H22" s="164"/>
    </row>
    <row r="23" spans="1:15" ht="28.8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J23" s="11" t="s">
        <v>32</v>
      </c>
      <c r="K23" s="107" t="s">
        <v>33</v>
      </c>
    </row>
    <row r="24" spans="1:15" ht="31.2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J24" s="11" t="s">
        <v>34</v>
      </c>
      <c r="K24" s="10" t="s">
        <v>55</v>
      </c>
    </row>
    <row r="25" spans="1:15" ht="28.8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J25" s="11" t="s">
        <v>36</v>
      </c>
      <c r="K25" s="10" t="s">
        <v>37</v>
      </c>
    </row>
    <row r="26" spans="1:15" ht="62.4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  <c r="J26" s="11" t="s">
        <v>38</v>
      </c>
      <c r="K26" s="10" t="s">
        <v>39</v>
      </c>
    </row>
    <row r="27" spans="1:15" x14ac:dyDescent="0.3">
      <c r="B27" s="67" t="s">
        <v>61</v>
      </c>
      <c r="C27" s="181">
        <v>150</v>
      </c>
      <c r="D27" s="182"/>
      <c r="E27" s="181">
        <v>150</v>
      </c>
      <c r="F27" s="182"/>
      <c r="G27" s="68">
        <f>50+40</f>
        <v>90</v>
      </c>
      <c r="H27" s="68">
        <v>90</v>
      </c>
    </row>
    <row r="28" spans="1:15" x14ac:dyDescent="0.3">
      <c r="B28" s="67" t="s">
        <v>62</v>
      </c>
      <c r="C28" s="181">
        <v>15</v>
      </c>
      <c r="D28" s="182"/>
      <c r="E28" s="181">
        <v>15</v>
      </c>
      <c r="F28" s="182"/>
      <c r="G28" s="68">
        <f>35+0.71</f>
        <v>35.71</v>
      </c>
      <c r="H28" s="68">
        <v>35.71</v>
      </c>
    </row>
    <row r="29" spans="1:15" x14ac:dyDescent="0.3">
      <c r="B29" s="69" t="s">
        <v>63</v>
      </c>
      <c r="C29" s="183">
        <v>45</v>
      </c>
      <c r="D29" s="184"/>
      <c r="E29" s="183">
        <v>45</v>
      </c>
      <c r="F29" s="184"/>
      <c r="G29" s="70">
        <f>54</f>
        <v>54</v>
      </c>
      <c r="H29" s="70">
        <f>54</f>
        <v>54</v>
      </c>
    </row>
    <row r="30" spans="1:15" x14ac:dyDescent="0.3">
      <c r="B30" s="67" t="s">
        <v>64</v>
      </c>
      <c r="C30" s="181">
        <v>15</v>
      </c>
      <c r="D30" s="182"/>
      <c r="E30" s="181">
        <v>15</v>
      </c>
      <c r="F30" s="182"/>
      <c r="G30" s="68">
        <v>10</v>
      </c>
      <c r="H30" s="68">
        <v>10</v>
      </c>
    </row>
    <row r="31" spans="1:15" x14ac:dyDescent="0.3">
      <c r="B31" s="67" t="s">
        <v>65</v>
      </c>
      <c r="C31" s="181" t="s">
        <v>66</v>
      </c>
      <c r="D31" s="182"/>
      <c r="E31" s="185">
        <v>188</v>
      </c>
      <c r="F31" s="186"/>
      <c r="G31" s="68">
        <f>53.4+28.9</f>
        <v>82.3</v>
      </c>
      <c r="H31" s="68">
        <v>82.3</v>
      </c>
    </row>
    <row r="32" spans="1:15" x14ac:dyDescent="0.3">
      <c r="B32" s="67" t="s">
        <v>67</v>
      </c>
      <c r="C32" s="181">
        <v>350</v>
      </c>
      <c r="D32" s="182"/>
      <c r="E32" s="181" t="s">
        <v>68</v>
      </c>
      <c r="F32" s="182"/>
      <c r="G32" s="68">
        <f>10+9.6+2+6+6+19.1+12.6+18.8+21.4+18.8</f>
        <v>124.3</v>
      </c>
      <c r="H32" s="83">
        <f>40+21+8+2+8+15+10+5+5+5</f>
        <v>119</v>
      </c>
    </row>
    <row r="33" spans="2:8" x14ac:dyDescent="0.3">
      <c r="B33" s="67" t="s">
        <v>69</v>
      </c>
      <c r="C33" s="181">
        <v>200</v>
      </c>
      <c r="D33" s="182"/>
      <c r="E33" s="181" t="s">
        <v>70</v>
      </c>
      <c r="F33" s="182"/>
      <c r="G33" s="68">
        <f>100+45.4</f>
        <v>145.4</v>
      </c>
      <c r="H33" s="68">
        <v>145.4</v>
      </c>
    </row>
    <row r="34" spans="2:8" ht="26.4" x14ac:dyDescent="0.3">
      <c r="B34" s="67" t="s">
        <v>71</v>
      </c>
      <c r="C34" s="181">
        <v>15</v>
      </c>
      <c r="D34" s="182"/>
      <c r="E34" s="181">
        <v>15</v>
      </c>
      <c r="F34" s="182"/>
      <c r="G34" s="68"/>
      <c r="H34" s="68"/>
    </row>
    <row r="35" spans="2:8" ht="39.6" x14ac:dyDescent="0.3">
      <c r="B35" s="67" t="s">
        <v>72</v>
      </c>
      <c r="C35" s="181">
        <v>200</v>
      </c>
      <c r="D35" s="182"/>
      <c r="E35" s="181">
        <v>200</v>
      </c>
      <c r="F35" s="182"/>
      <c r="G35" s="68"/>
      <c r="H35" s="68"/>
    </row>
    <row r="36" spans="2:8" ht="26.4" x14ac:dyDescent="0.3">
      <c r="B36" s="67" t="s">
        <v>73</v>
      </c>
      <c r="C36" s="181" t="s">
        <v>74</v>
      </c>
      <c r="D36" s="182"/>
      <c r="E36" s="181">
        <v>70</v>
      </c>
      <c r="F36" s="182"/>
      <c r="G36" s="68"/>
      <c r="H36" s="68"/>
    </row>
    <row r="37" spans="2:8" ht="26.4" x14ac:dyDescent="0.3">
      <c r="B37" s="67" t="s">
        <v>75</v>
      </c>
      <c r="C37" s="181" t="s">
        <v>76</v>
      </c>
      <c r="D37" s="182"/>
      <c r="E37" s="181">
        <v>35</v>
      </c>
      <c r="F37" s="182"/>
      <c r="G37" s="68">
        <v>40</v>
      </c>
      <c r="H37" s="68">
        <v>25</v>
      </c>
    </row>
    <row r="38" spans="2:8" x14ac:dyDescent="0.3">
      <c r="B38" s="67" t="s">
        <v>77</v>
      </c>
      <c r="C38" s="181">
        <v>60</v>
      </c>
      <c r="D38" s="182"/>
      <c r="E38" s="181">
        <v>58</v>
      </c>
      <c r="F38" s="182"/>
      <c r="G38" s="68">
        <v>246</v>
      </c>
      <c r="H38" s="68">
        <v>124</v>
      </c>
    </row>
    <row r="39" spans="2:8" x14ac:dyDescent="0.3"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2:8" ht="26.4" x14ac:dyDescent="0.3">
      <c r="B40" s="67" t="s">
        <v>79</v>
      </c>
      <c r="C40" s="181">
        <v>300</v>
      </c>
      <c r="D40" s="182"/>
      <c r="E40" s="181">
        <v>300</v>
      </c>
      <c r="F40" s="182"/>
      <c r="G40" s="68">
        <v>150</v>
      </c>
      <c r="H40" s="68"/>
    </row>
    <row r="41" spans="2:8" ht="26.4" x14ac:dyDescent="0.3">
      <c r="B41" s="67" t="s">
        <v>80</v>
      </c>
      <c r="C41" s="181">
        <v>150</v>
      </c>
      <c r="D41" s="182"/>
      <c r="E41" s="181">
        <v>150</v>
      </c>
      <c r="F41" s="182"/>
      <c r="G41" s="68">
        <v>206</v>
      </c>
      <c r="H41" s="68">
        <v>200</v>
      </c>
    </row>
    <row r="42" spans="2:8" ht="26.4" x14ac:dyDescent="0.3">
      <c r="B42" s="67" t="s">
        <v>81</v>
      </c>
      <c r="C42" s="181">
        <v>50</v>
      </c>
      <c r="D42" s="182"/>
      <c r="E42" s="181">
        <v>50</v>
      </c>
      <c r="F42" s="182"/>
      <c r="G42" s="68"/>
      <c r="H42" s="68"/>
    </row>
    <row r="43" spans="2:8" x14ac:dyDescent="0.3">
      <c r="B43" s="67" t="s">
        <v>82</v>
      </c>
      <c r="C43" s="181">
        <v>10</v>
      </c>
      <c r="D43" s="182"/>
      <c r="E43" s="181">
        <v>9.8000000000000007</v>
      </c>
      <c r="F43" s="182"/>
      <c r="G43" s="68"/>
      <c r="H43" s="83"/>
    </row>
    <row r="44" spans="2:8" ht="26.4" x14ac:dyDescent="0.3">
      <c r="B44" s="67" t="s">
        <v>83</v>
      </c>
      <c r="C44" s="181">
        <v>10</v>
      </c>
      <c r="D44" s="182"/>
      <c r="E44" s="181">
        <v>10</v>
      </c>
      <c r="F44" s="182"/>
      <c r="G44" s="73"/>
      <c r="H44" s="73"/>
    </row>
    <row r="45" spans="2:8" x14ac:dyDescent="0.3">
      <c r="B45" s="67" t="s">
        <v>84</v>
      </c>
      <c r="C45" s="181">
        <v>30</v>
      </c>
      <c r="D45" s="182"/>
      <c r="E45" s="181">
        <v>30</v>
      </c>
      <c r="F45" s="182"/>
      <c r="G45" s="68">
        <f>10+6.75+4+10+10</f>
        <v>40.75</v>
      </c>
      <c r="H45" s="68">
        <v>40.75</v>
      </c>
    </row>
    <row r="46" spans="2:8" x14ac:dyDescent="0.3">
      <c r="B46" s="67" t="s">
        <v>85</v>
      </c>
      <c r="C46" s="181">
        <v>15</v>
      </c>
      <c r="D46" s="182"/>
      <c r="E46" s="181">
        <v>15</v>
      </c>
      <c r="F46" s="182"/>
      <c r="G46" s="68">
        <f>2+0.32+10</f>
        <v>12.32</v>
      </c>
      <c r="H46" s="68">
        <v>12.32</v>
      </c>
    </row>
    <row r="47" spans="2:8" x14ac:dyDescent="0.3">
      <c r="B47" s="67" t="s">
        <v>86</v>
      </c>
      <c r="C47" s="181" t="s">
        <v>87</v>
      </c>
      <c r="D47" s="182"/>
      <c r="E47" s="181">
        <v>40</v>
      </c>
      <c r="F47" s="182"/>
      <c r="G47" s="83">
        <v>80.099999999999994</v>
      </c>
      <c r="H47" s="68">
        <v>80.099999999999994</v>
      </c>
    </row>
    <row r="48" spans="2:8" x14ac:dyDescent="0.3">
      <c r="B48" s="67" t="s">
        <v>88</v>
      </c>
      <c r="C48" s="181">
        <v>40</v>
      </c>
      <c r="D48" s="182"/>
      <c r="E48" s="185">
        <v>40</v>
      </c>
      <c r="F48" s="186"/>
      <c r="G48" s="68">
        <f>20+24+0.35</f>
        <v>44.35</v>
      </c>
      <c r="H48" s="68">
        <v>44.35</v>
      </c>
    </row>
    <row r="49" spans="2:8" x14ac:dyDescent="0.3">
      <c r="B49" s="67" t="s">
        <v>89</v>
      </c>
      <c r="C49" s="185">
        <v>10</v>
      </c>
      <c r="D49" s="186"/>
      <c r="E49" s="181">
        <v>10</v>
      </c>
      <c r="F49" s="182"/>
      <c r="G49" s="68"/>
      <c r="H49" s="68"/>
    </row>
    <row r="50" spans="2:8" x14ac:dyDescent="0.3">
      <c r="B50" s="67" t="s">
        <v>90</v>
      </c>
      <c r="C50" s="181">
        <v>0.4</v>
      </c>
      <c r="D50" s="182"/>
      <c r="E50" s="181">
        <v>0.4</v>
      </c>
      <c r="F50" s="182"/>
      <c r="G50" s="68"/>
      <c r="H50" s="68"/>
    </row>
    <row r="51" spans="2:8" x14ac:dyDescent="0.3">
      <c r="B51" s="67" t="s">
        <v>91</v>
      </c>
      <c r="C51" s="181">
        <v>1.2</v>
      </c>
      <c r="D51" s="182"/>
      <c r="E51" s="181">
        <v>1.2</v>
      </c>
      <c r="F51" s="182"/>
      <c r="G51" s="68"/>
      <c r="H51" s="68"/>
    </row>
    <row r="52" spans="2:8" x14ac:dyDescent="0.3">
      <c r="B52" s="67" t="s">
        <v>92</v>
      </c>
      <c r="C52" s="181">
        <v>1</v>
      </c>
      <c r="D52" s="182"/>
      <c r="E52" s="181">
        <v>1</v>
      </c>
      <c r="F52" s="182"/>
      <c r="G52" s="68">
        <v>0.1</v>
      </c>
      <c r="H52" s="68">
        <v>0.1</v>
      </c>
    </row>
    <row r="53" spans="2:8" x14ac:dyDescent="0.3">
      <c r="B53" s="67" t="s">
        <v>93</v>
      </c>
      <c r="C53" s="181">
        <v>5</v>
      </c>
      <c r="D53" s="182"/>
      <c r="E53" s="181">
        <v>5</v>
      </c>
      <c r="F53" s="182"/>
      <c r="G53" s="68">
        <v>3.03</v>
      </c>
      <c r="H53" s="68">
        <v>3.03</v>
      </c>
    </row>
    <row r="54" spans="2:8" x14ac:dyDescent="0.3">
      <c r="B54" s="81"/>
      <c r="C54" s="15"/>
      <c r="D54" s="15"/>
      <c r="E54" s="15"/>
      <c r="F54" s="15"/>
      <c r="G54" s="15"/>
      <c r="H54" s="15"/>
    </row>
    <row r="55" spans="2:8" x14ac:dyDescent="0.3">
      <c r="B55" s="81"/>
      <c r="C55" s="15"/>
      <c r="D55" s="15"/>
      <c r="E55" s="15"/>
      <c r="F55" s="15"/>
      <c r="G55" s="15"/>
      <c r="H55" s="15"/>
    </row>
    <row r="56" spans="2:8" x14ac:dyDescent="0.3">
      <c r="B56" s="81"/>
      <c r="C56" s="15"/>
      <c r="D56" s="15"/>
      <c r="E56" s="15"/>
      <c r="F56" s="15"/>
      <c r="G56" s="15"/>
      <c r="H56" s="15"/>
    </row>
    <row r="57" spans="2:8" x14ac:dyDescent="0.3">
      <c r="B57" s="81"/>
      <c r="C57" s="15"/>
      <c r="D57" s="15"/>
      <c r="E57" s="15"/>
      <c r="F57" s="15"/>
      <c r="G57" s="15"/>
      <c r="H57" s="15"/>
    </row>
    <row r="58" spans="2:8" x14ac:dyDescent="0.3">
      <c r="B58" s="81"/>
      <c r="C58" s="15"/>
      <c r="D58" s="15"/>
      <c r="E58" s="15"/>
      <c r="F58" s="15"/>
      <c r="G58" s="15"/>
      <c r="H58" s="15"/>
    </row>
    <row r="59" spans="2:8" x14ac:dyDescent="0.3">
      <c r="B59" s="81"/>
      <c r="C59" s="15"/>
      <c r="D59" s="15"/>
      <c r="E59" s="15"/>
      <c r="F59" s="15"/>
      <c r="G59" s="15"/>
      <c r="H59" s="15"/>
    </row>
    <row r="60" spans="2:8" x14ac:dyDescent="0.3">
      <c r="B60" s="81"/>
      <c r="C60" s="15"/>
      <c r="D60" s="15"/>
      <c r="E60" s="15"/>
      <c r="F60" s="15"/>
      <c r="G60" s="15"/>
      <c r="H60" s="15"/>
    </row>
    <row r="61" spans="2:8" x14ac:dyDescent="0.3">
      <c r="B61" s="81"/>
      <c r="C61" s="15"/>
      <c r="D61" s="15"/>
      <c r="E61" s="15"/>
      <c r="F61" s="15"/>
      <c r="G61" s="15"/>
      <c r="H61" s="15"/>
    </row>
  </sheetData>
  <sheetProtection formatCells="0" formatColumns="0" formatRows="0" insertColumns="0" insertRows="0" insertHyperlinks="0" deleteColumns="0" deleteRows="0" sort="0" autoFilter="0" pivotTables="0"/>
  <mergeCells count="76">
    <mergeCell ref="C30:D30"/>
    <mergeCell ref="C29:D29"/>
    <mergeCell ref="C28:D28"/>
    <mergeCell ref="C27:D27"/>
    <mergeCell ref="C26:D26"/>
    <mergeCell ref="C35:D35"/>
    <mergeCell ref="C34:D34"/>
    <mergeCell ref="C33:D33"/>
    <mergeCell ref="C32:D32"/>
    <mergeCell ref="C31:D31"/>
    <mergeCell ref="C40:D40"/>
    <mergeCell ref="C39:D39"/>
    <mergeCell ref="C38:D38"/>
    <mergeCell ref="C37:D37"/>
    <mergeCell ref="C36:D36"/>
    <mergeCell ref="C45:D45"/>
    <mergeCell ref="C44:D44"/>
    <mergeCell ref="C43:D43"/>
    <mergeCell ref="C42:D42"/>
    <mergeCell ref="C41:D41"/>
    <mergeCell ref="C50:D50"/>
    <mergeCell ref="C49:D49"/>
    <mergeCell ref="C48:D48"/>
    <mergeCell ref="C47:D47"/>
    <mergeCell ref="C46:D46"/>
    <mergeCell ref="E51:F51"/>
    <mergeCell ref="E52:F52"/>
    <mergeCell ref="E53:F53"/>
    <mergeCell ref="C53:D53"/>
    <mergeCell ref="C52:D52"/>
    <mergeCell ref="C51:D51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B22:H22"/>
    <mergeCell ref="C23:F23"/>
    <mergeCell ref="B24:B25"/>
    <mergeCell ref="C24:D24"/>
    <mergeCell ref="E24:F24"/>
    <mergeCell ref="G23:H23"/>
    <mergeCell ref="E25:F25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53"/>
  <sheetViews>
    <sheetView view="pageBreakPreview" zoomScale="70" zoomScaleNormal="90" zoomScaleSheetLayoutView="70" workbookViewId="0">
      <selection activeCell="C9" sqref="C9"/>
    </sheetView>
  </sheetViews>
  <sheetFormatPr defaultRowHeight="14.4" x14ac:dyDescent="0.3"/>
  <cols>
    <col min="1" max="1" width="16" customWidth="1"/>
    <col min="2" max="2" width="25.33203125" customWidth="1"/>
    <col min="7" max="7" width="12" customWidth="1"/>
    <col min="8" max="8" width="10.5546875" customWidth="1"/>
    <col min="9" max="9" width="11.88671875" customWidth="1"/>
    <col min="10" max="10" width="10.6640625" customWidth="1"/>
    <col min="13" max="13" width="9.5546875" bestFit="1" customWidth="1"/>
  </cols>
  <sheetData>
    <row r="1" spans="1:27" ht="15.6" x14ac:dyDescent="0.3">
      <c r="A1" s="11" t="s">
        <v>32</v>
      </c>
      <c r="B1" s="10" t="s">
        <v>40</v>
      </c>
    </row>
    <row r="2" spans="1:27" ht="15.6" x14ac:dyDescent="0.3">
      <c r="A2" s="11" t="s">
        <v>34</v>
      </c>
      <c r="B2" s="10" t="s">
        <v>55</v>
      </c>
    </row>
    <row r="3" spans="1:27" ht="15.6" x14ac:dyDescent="0.3">
      <c r="A3" s="11" t="s">
        <v>36</v>
      </c>
      <c r="B3" s="10" t="s">
        <v>37</v>
      </c>
    </row>
    <row r="4" spans="1:27" ht="31.2" x14ac:dyDescent="0.3">
      <c r="A4" s="11" t="s">
        <v>38</v>
      </c>
      <c r="B4" s="18" t="s">
        <v>115</v>
      </c>
    </row>
    <row r="5" spans="1:27" ht="15.6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</row>
    <row r="6" spans="1:27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27" s="22" customFormat="1" ht="26.25" customHeight="1" x14ac:dyDescent="0.3">
      <c r="A7" s="228" t="s">
        <v>20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27" s="22" customFormat="1" ht="45.75" customHeight="1" x14ac:dyDescent="0.3">
      <c r="A8" s="123">
        <v>197</v>
      </c>
      <c r="B8" s="8" t="s">
        <v>119</v>
      </c>
      <c r="C8" s="123">
        <v>300</v>
      </c>
      <c r="D8" s="14">
        <f>8.07/4+0.8</f>
        <v>2.8174999999999999</v>
      </c>
      <c r="E8" s="14">
        <f>(20.36/4)+0.2</f>
        <v>5.29</v>
      </c>
      <c r="F8" s="14">
        <f>47.92/4</f>
        <v>11.98</v>
      </c>
      <c r="G8" s="14">
        <v>165.25</v>
      </c>
      <c r="H8" s="14">
        <f>0.37/4</f>
        <v>9.2499999999999999E-2</v>
      </c>
      <c r="I8" s="14">
        <f>33.5/4</f>
        <v>8.375</v>
      </c>
      <c r="J8" s="14"/>
      <c r="K8" s="14">
        <f>9.4/4</f>
        <v>2.35</v>
      </c>
      <c r="L8" s="14">
        <f>116.6/4+2</f>
        <v>31.15</v>
      </c>
      <c r="M8" s="14">
        <f>226.9/4</f>
        <v>56.725000000000001</v>
      </c>
      <c r="N8" s="14">
        <f>96.7/4</f>
        <v>24.175000000000001</v>
      </c>
      <c r="O8" s="14">
        <f>3.7/4</f>
        <v>0.92500000000000004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1" customFormat="1" ht="13.8" x14ac:dyDescent="0.3">
      <c r="A9" s="123">
        <v>510</v>
      </c>
      <c r="B9" s="8" t="s">
        <v>124</v>
      </c>
      <c r="C9" s="123">
        <v>100</v>
      </c>
      <c r="D9" s="14">
        <v>13.98</v>
      </c>
      <c r="E9" s="14">
        <f>3.71*2</f>
        <v>7.42</v>
      </c>
      <c r="F9" s="14">
        <f>9.97*2</f>
        <v>19.940000000000001</v>
      </c>
      <c r="G9" s="14">
        <f>120*2</f>
        <v>240</v>
      </c>
      <c r="H9" s="14">
        <f>0.047*2</f>
        <v>9.4E-2</v>
      </c>
      <c r="I9" s="14">
        <f>0.88*2</f>
        <v>1.76</v>
      </c>
      <c r="J9" s="14">
        <f>15*2</f>
        <v>30</v>
      </c>
      <c r="K9" s="14">
        <f>2.61*2</f>
        <v>5.22</v>
      </c>
      <c r="L9" s="14">
        <f>40.92*2</f>
        <v>81.84</v>
      </c>
      <c r="M9" s="14">
        <f>92.31*2</f>
        <v>184.62</v>
      </c>
      <c r="N9" s="14">
        <f>27.56*2</f>
        <v>55.12</v>
      </c>
      <c r="O9" s="14">
        <f>0.77*2</f>
        <v>1.54</v>
      </c>
    </row>
    <row r="10" spans="1:27" s="12" customFormat="1" x14ac:dyDescent="0.3">
      <c r="A10" s="123">
        <v>682</v>
      </c>
      <c r="B10" s="8" t="s">
        <v>16</v>
      </c>
      <c r="C10" s="123">
        <v>200</v>
      </c>
      <c r="D10" s="14">
        <f>24.34/20*3</f>
        <v>3.6510000000000002</v>
      </c>
      <c r="E10" s="14">
        <f>35.83/20*3</f>
        <v>5.3744999999999994</v>
      </c>
      <c r="F10" s="14">
        <f>244.56/20*3</f>
        <v>36.683999999999997</v>
      </c>
      <c r="G10" s="14">
        <v>232.7</v>
      </c>
      <c r="H10" s="14">
        <f>0.17/20*3</f>
        <v>2.5500000000000002E-2</v>
      </c>
      <c r="I10" s="14"/>
      <c r="J10" s="14"/>
      <c r="K10" s="14">
        <f>1.88/20*3</f>
        <v>0.28200000000000003</v>
      </c>
      <c r="L10" s="14">
        <f>9.1/20*3</f>
        <v>1.3649999999999998</v>
      </c>
      <c r="M10" s="14">
        <f>406.3/20*3</f>
        <v>60.945000000000007</v>
      </c>
      <c r="N10" s="14">
        <f>108.9/20*3</f>
        <v>16.335000000000001</v>
      </c>
      <c r="O10" s="14">
        <f>3.51/20*3</f>
        <v>0.52649999999999997</v>
      </c>
    </row>
    <row r="11" spans="1:27" s="12" customFormat="1" x14ac:dyDescent="0.3">
      <c r="A11" s="123">
        <v>1013</v>
      </c>
      <c r="B11" s="8" t="s">
        <v>100</v>
      </c>
      <c r="C11" s="84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27" s="12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27" s="12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27" s="22" customFormat="1" ht="15.75" customHeight="1" x14ac:dyDescent="0.3">
      <c r="A14" s="88" t="s">
        <v>11</v>
      </c>
      <c r="B14" s="89"/>
      <c r="C14" s="89"/>
      <c r="D14" s="97">
        <f>SUM(D8:D13)</f>
        <v>26.848499999999998</v>
      </c>
      <c r="E14" s="97">
        <f>SUM(E8:E13)</f>
        <v>19.364499999999996</v>
      </c>
      <c r="F14" s="97">
        <f>SUM(F8:F13)</f>
        <v>127.88400000000001</v>
      </c>
      <c r="G14" s="97">
        <f>SUM(G8:G13)</f>
        <v>908.23</v>
      </c>
      <c r="H14" s="97"/>
      <c r="I14" s="97"/>
      <c r="J14" s="97"/>
      <c r="K14" s="97"/>
      <c r="L14" s="97"/>
      <c r="M14" s="97"/>
      <c r="N14" s="97"/>
      <c r="O14" s="97"/>
    </row>
    <row r="15" spans="1:27" s="9" customFormat="1" ht="16.2" customHeight="1" x14ac:dyDescent="0.3">
      <c r="A15" s="103" t="s">
        <v>15</v>
      </c>
      <c r="B15" s="104"/>
      <c r="C15" s="105"/>
      <c r="D15" s="100">
        <v>26.85</v>
      </c>
      <c r="E15" s="100">
        <v>19.36</v>
      </c>
      <c r="F15" s="100">
        <v>127.88</v>
      </c>
      <c r="G15" s="100">
        <v>908.23</v>
      </c>
      <c r="H15" s="97"/>
      <c r="I15" s="97"/>
      <c r="J15" s="97"/>
      <c r="K15" s="97"/>
      <c r="L15" s="97"/>
      <c r="M15" s="97"/>
      <c r="N15" s="97"/>
      <c r="O15" s="97"/>
    </row>
    <row r="16" spans="1:27" ht="15" thickBot="1" x14ac:dyDescent="0.35"/>
    <row r="17" spans="2:11" ht="27" thickBot="1" x14ac:dyDescent="0.35"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</row>
    <row r="18" spans="2:11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1" ht="15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</row>
    <row r="20" spans="2:11" ht="18" customHeight="1" thickBot="1" x14ac:dyDescent="0.35">
      <c r="B20" s="174" t="s">
        <v>48</v>
      </c>
      <c r="C20" s="175"/>
      <c r="D20" s="175"/>
      <c r="E20" s="175"/>
      <c r="F20" s="33">
        <f>D15</f>
        <v>26.85</v>
      </c>
      <c r="G20" s="33">
        <f>E15</f>
        <v>19.36</v>
      </c>
      <c r="H20" s="33">
        <f>F15</f>
        <v>127.88</v>
      </c>
      <c r="I20" s="33">
        <f>G15</f>
        <v>908.23</v>
      </c>
    </row>
    <row r="22" spans="2:11" ht="32.25" customHeight="1" x14ac:dyDescent="0.3">
      <c r="B22" s="164" t="s">
        <v>94</v>
      </c>
      <c r="C22" s="164"/>
      <c r="D22" s="164"/>
      <c r="E22" s="164"/>
      <c r="F22" s="164"/>
      <c r="G22" s="164"/>
      <c r="H22" s="164"/>
    </row>
    <row r="23" spans="2:11" ht="20.25" customHeight="1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J23" s="11" t="s">
        <v>32</v>
      </c>
      <c r="K23" s="10" t="s">
        <v>40</v>
      </c>
    </row>
    <row r="24" spans="2:11" ht="26.4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J24" s="11" t="s">
        <v>34</v>
      </c>
      <c r="K24" s="10" t="s">
        <v>55</v>
      </c>
    </row>
    <row r="25" spans="2:11" ht="28.8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J25" s="11" t="s">
        <v>36</v>
      </c>
      <c r="K25" s="10" t="s">
        <v>37</v>
      </c>
    </row>
    <row r="26" spans="2:11" ht="62.4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  <c r="J26" s="11" t="s">
        <v>38</v>
      </c>
      <c r="K26" s="10" t="s">
        <v>39</v>
      </c>
    </row>
    <row r="27" spans="2:11" x14ac:dyDescent="0.3">
      <c r="B27" s="67" t="s">
        <v>61</v>
      </c>
      <c r="C27" s="181">
        <v>150</v>
      </c>
      <c r="D27" s="182"/>
      <c r="E27" s="181">
        <v>150</v>
      </c>
      <c r="F27" s="182"/>
      <c r="G27" s="68">
        <v>70</v>
      </c>
      <c r="H27" s="68">
        <v>70</v>
      </c>
    </row>
    <row r="28" spans="2:11" x14ac:dyDescent="0.3">
      <c r="B28" s="67" t="s">
        <v>62</v>
      </c>
      <c r="C28" s="181">
        <v>15</v>
      </c>
      <c r="D28" s="182"/>
      <c r="E28" s="181">
        <v>15</v>
      </c>
      <c r="F28" s="182"/>
      <c r="G28" s="68">
        <f>2+0.6+17.9</f>
        <v>20.5</v>
      </c>
      <c r="H28" s="68">
        <v>20.5</v>
      </c>
    </row>
    <row r="29" spans="2:11" x14ac:dyDescent="0.3">
      <c r="B29" s="69" t="s">
        <v>63</v>
      </c>
      <c r="C29" s="183">
        <v>45</v>
      </c>
      <c r="D29" s="184"/>
      <c r="E29" s="183">
        <v>45</v>
      </c>
      <c r="F29" s="184"/>
      <c r="G29" s="70">
        <v>44</v>
      </c>
      <c r="H29" s="70">
        <v>44</v>
      </c>
    </row>
    <row r="30" spans="2:11" x14ac:dyDescent="0.3">
      <c r="B30" s="67" t="s">
        <v>64</v>
      </c>
      <c r="C30" s="181">
        <v>15</v>
      </c>
      <c r="D30" s="182"/>
      <c r="E30" s="181">
        <v>15</v>
      </c>
      <c r="F30" s="182"/>
      <c r="G30" s="68">
        <v>52.5</v>
      </c>
      <c r="H30" s="68">
        <v>52.5</v>
      </c>
    </row>
    <row r="31" spans="2:11" x14ac:dyDescent="0.3">
      <c r="B31" s="67" t="s">
        <v>65</v>
      </c>
      <c r="C31" s="181" t="s">
        <v>66</v>
      </c>
      <c r="D31" s="182"/>
      <c r="E31" s="185">
        <v>188</v>
      </c>
      <c r="F31" s="186"/>
      <c r="G31" s="68">
        <v>40</v>
      </c>
      <c r="H31" s="68">
        <v>30</v>
      </c>
    </row>
    <row r="32" spans="2:11" x14ac:dyDescent="0.3">
      <c r="B32" s="67" t="s">
        <v>67</v>
      </c>
      <c r="C32" s="181">
        <v>350</v>
      </c>
      <c r="D32" s="182"/>
      <c r="E32" s="181" t="s">
        <v>68</v>
      </c>
      <c r="F32" s="182"/>
      <c r="G32" s="68">
        <f>63+12.5+3.25+12+2.5+3+2.5+12.5+12+12+92.6</f>
        <v>227.85</v>
      </c>
      <c r="H32" s="83">
        <f>50+10+2.5+10+2.5+10+2.5+2+2+30</f>
        <v>121.5</v>
      </c>
    </row>
    <row r="33" spans="2:8" x14ac:dyDescent="0.3">
      <c r="B33" s="67" t="s">
        <v>69</v>
      </c>
      <c r="C33" s="181">
        <v>200</v>
      </c>
      <c r="D33" s="182"/>
      <c r="E33" s="181" t="s">
        <v>70</v>
      </c>
      <c r="F33" s="182"/>
      <c r="G33" s="68">
        <f>20.7+100+14.3</f>
        <v>135</v>
      </c>
      <c r="H33" s="68">
        <f>100+10+18.2</f>
        <v>128.19999999999999</v>
      </c>
    </row>
    <row r="34" spans="2:8" ht="26.4" x14ac:dyDescent="0.3">
      <c r="B34" s="67" t="s">
        <v>71</v>
      </c>
      <c r="C34" s="181">
        <v>15</v>
      </c>
      <c r="D34" s="182"/>
      <c r="E34" s="181">
        <v>15</v>
      </c>
      <c r="F34" s="182"/>
      <c r="G34" s="68">
        <f>5.6</f>
        <v>5.6</v>
      </c>
      <c r="H34" s="83">
        <v>10</v>
      </c>
    </row>
    <row r="35" spans="2:8" ht="39.6" x14ac:dyDescent="0.3">
      <c r="B35" s="67" t="s">
        <v>72</v>
      </c>
      <c r="C35" s="181">
        <v>200</v>
      </c>
      <c r="D35" s="182"/>
      <c r="E35" s="181">
        <v>200</v>
      </c>
      <c r="F35" s="182"/>
      <c r="G35" s="68">
        <v>200</v>
      </c>
      <c r="H35" s="68">
        <v>200</v>
      </c>
    </row>
    <row r="36" spans="2:8" ht="26.4" x14ac:dyDescent="0.3">
      <c r="B36" s="67" t="s">
        <v>73</v>
      </c>
      <c r="C36" s="181" t="s">
        <v>74</v>
      </c>
      <c r="D36" s="182"/>
      <c r="E36" s="181">
        <v>70</v>
      </c>
      <c r="F36" s="182"/>
      <c r="G36" s="83">
        <f>110+40</f>
        <v>150</v>
      </c>
      <c r="H36" s="68">
        <f>81+25</f>
        <v>106</v>
      </c>
    </row>
    <row r="37" spans="2:8" ht="26.4" x14ac:dyDescent="0.3">
      <c r="B37" s="67" t="s">
        <v>75</v>
      </c>
      <c r="C37" s="181" t="s">
        <v>76</v>
      </c>
      <c r="D37" s="182"/>
      <c r="E37" s="181">
        <v>35</v>
      </c>
      <c r="F37" s="182"/>
      <c r="G37" s="68"/>
      <c r="H37" s="68"/>
    </row>
    <row r="38" spans="2:8" x14ac:dyDescent="0.3">
      <c r="B38" s="67" t="s">
        <v>77</v>
      </c>
      <c r="C38" s="181">
        <v>60</v>
      </c>
      <c r="D38" s="182"/>
      <c r="E38" s="181">
        <v>58</v>
      </c>
      <c r="F38" s="182"/>
      <c r="G38" s="68"/>
      <c r="H38" s="68"/>
    </row>
    <row r="39" spans="2:8" x14ac:dyDescent="0.3"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2:8" ht="26.4" x14ac:dyDescent="0.3">
      <c r="B40" s="67" t="s">
        <v>79</v>
      </c>
      <c r="C40" s="181">
        <v>300</v>
      </c>
      <c r="D40" s="182"/>
      <c r="E40" s="181">
        <v>300</v>
      </c>
      <c r="F40" s="182"/>
      <c r="G40" s="68">
        <f>211+200</f>
        <v>411</v>
      </c>
      <c r="H40" s="68">
        <f>400</f>
        <v>400</v>
      </c>
    </row>
    <row r="41" spans="2:8" ht="39.6" x14ac:dyDescent="0.3">
      <c r="B41" s="67" t="s">
        <v>80</v>
      </c>
      <c r="C41" s="181">
        <v>150</v>
      </c>
      <c r="D41" s="182"/>
      <c r="E41" s="181">
        <v>150</v>
      </c>
      <c r="F41" s="182"/>
      <c r="G41" s="68"/>
      <c r="H41" s="68"/>
    </row>
    <row r="42" spans="2:8" ht="26.4" x14ac:dyDescent="0.3">
      <c r="B42" s="67" t="s">
        <v>81</v>
      </c>
      <c r="C42" s="181">
        <v>50</v>
      </c>
      <c r="D42" s="182"/>
      <c r="E42" s="181">
        <v>50</v>
      </c>
      <c r="F42" s="182"/>
      <c r="G42" s="68"/>
      <c r="H42" s="68"/>
    </row>
    <row r="43" spans="2:8" x14ac:dyDescent="0.3">
      <c r="B43" s="67" t="s">
        <v>82</v>
      </c>
      <c r="C43" s="181">
        <v>10</v>
      </c>
      <c r="D43" s="182"/>
      <c r="E43" s="181">
        <v>9.8000000000000007</v>
      </c>
      <c r="F43" s="182"/>
      <c r="G43" s="68">
        <v>16</v>
      </c>
      <c r="H43" s="83">
        <v>15</v>
      </c>
    </row>
    <row r="44" spans="2:8" ht="26.4" x14ac:dyDescent="0.3">
      <c r="B44" s="67" t="s">
        <v>83</v>
      </c>
      <c r="C44" s="181">
        <v>10</v>
      </c>
      <c r="D44" s="182"/>
      <c r="E44" s="181">
        <v>10</v>
      </c>
      <c r="F44" s="182"/>
      <c r="G44" s="73"/>
      <c r="H44" s="73"/>
    </row>
    <row r="45" spans="2:8" x14ac:dyDescent="0.3">
      <c r="B45" s="67" t="s">
        <v>84</v>
      </c>
      <c r="C45" s="181">
        <v>30</v>
      </c>
      <c r="D45" s="182"/>
      <c r="E45" s="181">
        <v>30</v>
      </c>
      <c r="F45" s="182"/>
      <c r="G45" s="68">
        <f>5+10+4.5+0.8</f>
        <v>20.3</v>
      </c>
      <c r="H45" s="68">
        <v>20.3</v>
      </c>
    </row>
    <row r="46" spans="2:8" x14ac:dyDescent="0.3">
      <c r="B46" s="67" t="s">
        <v>85</v>
      </c>
      <c r="C46" s="181">
        <v>15</v>
      </c>
      <c r="D46" s="182"/>
      <c r="E46" s="181">
        <v>15</v>
      </c>
      <c r="F46" s="182"/>
      <c r="G46" s="83">
        <v>15.7</v>
      </c>
      <c r="H46" s="68">
        <v>15.7</v>
      </c>
    </row>
    <row r="47" spans="2:8" x14ac:dyDescent="0.3">
      <c r="B47" s="67" t="s">
        <v>86</v>
      </c>
      <c r="C47" s="181" t="s">
        <v>87</v>
      </c>
      <c r="D47" s="182"/>
      <c r="E47" s="181">
        <v>40</v>
      </c>
      <c r="F47" s="182"/>
      <c r="G47" s="68">
        <f>0.7+0.9</f>
        <v>1.6</v>
      </c>
      <c r="H47" s="68">
        <v>1.6</v>
      </c>
    </row>
    <row r="48" spans="2:8" x14ac:dyDescent="0.3">
      <c r="B48" s="67" t="s">
        <v>88</v>
      </c>
      <c r="C48" s="181">
        <v>40</v>
      </c>
      <c r="D48" s="182"/>
      <c r="E48" s="185">
        <v>40</v>
      </c>
      <c r="F48" s="186"/>
      <c r="G48" s="68">
        <f>1+6+2+5.4+20+0.9</f>
        <v>35.299999999999997</v>
      </c>
      <c r="H48" s="68">
        <v>35.299999999999997</v>
      </c>
    </row>
    <row r="49" spans="2:8" x14ac:dyDescent="0.3">
      <c r="B49" s="67" t="s">
        <v>89</v>
      </c>
      <c r="C49" s="185">
        <v>10</v>
      </c>
      <c r="D49" s="186"/>
      <c r="E49" s="181">
        <v>10</v>
      </c>
      <c r="F49" s="182"/>
      <c r="G49" s="68"/>
      <c r="H49" s="68"/>
    </row>
    <row r="50" spans="2:8" x14ac:dyDescent="0.3">
      <c r="B50" s="67" t="s">
        <v>90</v>
      </c>
      <c r="C50" s="181">
        <v>0.4</v>
      </c>
      <c r="D50" s="182"/>
      <c r="E50" s="181">
        <v>0.4</v>
      </c>
      <c r="F50" s="182"/>
      <c r="G50" s="68"/>
      <c r="H50" s="68"/>
    </row>
    <row r="51" spans="2:8" x14ac:dyDescent="0.3">
      <c r="B51" s="67" t="s">
        <v>91</v>
      </c>
      <c r="C51" s="181">
        <v>1.2</v>
      </c>
      <c r="D51" s="182"/>
      <c r="E51" s="181">
        <v>1.2</v>
      </c>
      <c r="F51" s="182"/>
      <c r="G51" s="68"/>
      <c r="H51" s="68"/>
    </row>
    <row r="52" spans="2:8" x14ac:dyDescent="0.3">
      <c r="B52" s="67" t="s">
        <v>92</v>
      </c>
      <c r="C52" s="181">
        <v>1</v>
      </c>
      <c r="D52" s="182"/>
      <c r="E52" s="181">
        <v>1</v>
      </c>
      <c r="F52" s="182"/>
      <c r="G52" s="68">
        <v>0.5</v>
      </c>
      <c r="H52" s="68">
        <v>0.5</v>
      </c>
    </row>
    <row r="53" spans="2:8" x14ac:dyDescent="0.3">
      <c r="B53" s="67" t="s">
        <v>93</v>
      </c>
      <c r="C53" s="181">
        <v>5</v>
      </c>
      <c r="D53" s="182"/>
      <c r="E53" s="181">
        <v>5</v>
      </c>
      <c r="F53" s="182"/>
      <c r="G53" s="68">
        <v>3.2</v>
      </c>
      <c r="H53" s="68">
        <v>3.2</v>
      </c>
    </row>
  </sheetData>
  <sheetProtection formatCells="0" formatColumns="0" formatRows="0" insertColumns="0" insertRows="0" insertHyperlinks="0" deleteColumns="0" deleteRows="0" sort="0" autoFilter="0" pivotTables="0"/>
  <mergeCells count="76">
    <mergeCell ref="E30:F30"/>
    <mergeCell ref="E29:F29"/>
    <mergeCell ref="E28:F28"/>
    <mergeCell ref="E27:F27"/>
    <mergeCell ref="E26:F26"/>
    <mergeCell ref="E35:F35"/>
    <mergeCell ref="E34:F34"/>
    <mergeCell ref="E33:F33"/>
    <mergeCell ref="E32:F32"/>
    <mergeCell ref="E31:F31"/>
    <mergeCell ref="E40:F40"/>
    <mergeCell ref="E39:F39"/>
    <mergeCell ref="E38:F38"/>
    <mergeCell ref="E37:F37"/>
    <mergeCell ref="E36:F36"/>
    <mergeCell ref="E45:F45"/>
    <mergeCell ref="E44:F44"/>
    <mergeCell ref="E43:F43"/>
    <mergeCell ref="E42:F42"/>
    <mergeCell ref="E41:F41"/>
    <mergeCell ref="E50:F50"/>
    <mergeCell ref="E49:F49"/>
    <mergeCell ref="E48:F48"/>
    <mergeCell ref="E47:F47"/>
    <mergeCell ref="E46:F46"/>
    <mergeCell ref="C51:D51"/>
    <mergeCell ref="C52:D52"/>
    <mergeCell ref="C53:D53"/>
    <mergeCell ref="E53:F53"/>
    <mergeCell ref="E52:F52"/>
    <mergeCell ref="E51:F51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B22:H22"/>
    <mergeCell ref="C23:F23"/>
    <mergeCell ref="B24:B25"/>
    <mergeCell ref="C24:D24"/>
    <mergeCell ref="E24:F24"/>
    <mergeCell ref="G23:H23"/>
    <mergeCell ref="C25:D25"/>
    <mergeCell ref="E25:F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68" fitToWidth="2" fitToHeight="2" orientation="landscape" r:id="rId1"/>
  <rowBreaks count="1" manualBreakCount="1">
    <brk id="20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Q53"/>
  <sheetViews>
    <sheetView view="pageBreakPreview" zoomScale="80" zoomScaleNormal="100" zoomScaleSheetLayoutView="80" workbookViewId="0">
      <selection activeCell="C13" sqref="C13"/>
    </sheetView>
  </sheetViews>
  <sheetFormatPr defaultRowHeight="14.4" x14ac:dyDescent="0.3"/>
  <cols>
    <col min="1" max="1" width="12.6640625" customWidth="1"/>
    <col min="2" max="2" width="27.33203125" bestFit="1" customWidth="1"/>
    <col min="4" max="4" width="10.6640625" customWidth="1"/>
    <col min="6" max="6" width="10.6640625" bestFit="1" customWidth="1"/>
    <col min="7" max="7" width="9.5546875" bestFit="1" customWidth="1"/>
    <col min="9" max="9" width="9.5546875" bestFit="1" customWidth="1"/>
    <col min="10" max="10" width="10.44140625" customWidth="1"/>
  </cols>
  <sheetData>
    <row r="1" spans="1:17" ht="15.6" x14ac:dyDescent="0.3">
      <c r="A1" s="11" t="s">
        <v>32</v>
      </c>
      <c r="B1" s="10" t="s">
        <v>41</v>
      </c>
    </row>
    <row r="2" spans="1:17" ht="15.6" x14ac:dyDescent="0.3">
      <c r="A2" s="11" t="s">
        <v>34</v>
      </c>
      <c r="B2" s="10" t="s">
        <v>55</v>
      </c>
    </row>
    <row r="3" spans="1:17" ht="15.6" x14ac:dyDescent="0.3">
      <c r="A3" s="11" t="s">
        <v>36</v>
      </c>
      <c r="B3" s="10" t="s">
        <v>37</v>
      </c>
    </row>
    <row r="4" spans="1:17" ht="31.2" x14ac:dyDescent="0.3">
      <c r="A4" s="11" t="s">
        <v>38</v>
      </c>
      <c r="B4" s="18" t="s">
        <v>115</v>
      </c>
    </row>
    <row r="5" spans="1:17" ht="15.75" customHeight="1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</row>
    <row r="6" spans="1:17" ht="15.6" x14ac:dyDescent="0.3">
      <c r="A6" s="244"/>
      <c r="B6" s="244"/>
      <c r="C6" s="244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7" s="22" customFormat="1" ht="16.2" customHeight="1" x14ac:dyDescent="0.3">
      <c r="A7" s="247" t="s">
        <v>20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46"/>
      <c r="Q7" s="46"/>
    </row>
    <row r="8" spans="1:17" s="12" customFormat="1" ht="41.4" x14ac:dyDescent="0.3">
      <c r="A8" s="123">
        <v>170</v>
      </c>
      <c r="B8" s="8" t="s">
        <v>101</v>
      </c>
      <c r="C8" s="13">
        <v>300</v>
      </c>
      <c r="D8" s="14">
        <f>(7.21/4)+0.8</f>
        <v>2.6025</v>
      </c>
      <c r="E8" s="14">
        <f>(19.68/4)+0.2</f>
        <v>5.12</v>
      </c>
      <c r="F8" s="14">
        <f>43.73/4</f>
        <v>10.932499999999999</v>
      </c>
      <c r="G8" s="14">
        <v>161.75</v>
      </c>
      <c r="H8" s="14">
        <f>0.2/4</f>
        <v>0.05</v>
      </c>
      <c r="I8" s="14">
        <f>42.7/4</f>
        <v>10.675000000000001</v>
      </c>
      <c r="J8" s="14"/>
      <c r="K8" s="14">
        <f>9.6/4</f>
        <v>2.4</v>
      </c>
      <c r="L8" s="14">
        <f>(198.9/4)+2</f>
        <v>51.725000000000001</v>
      </c>
      <c r="M8" s="14">
        <f>218.4/4</f>
        <v>54.6</v>
      </c>
      <c r="N8" s="14">
        <f>104.5/4</f>
        <v>26.125</v>
      </c>
      <c r="O8" s="14">
        <f>4.9/4</f>
        <v>1.2250000000000001</v>
      </c>
    </row>
    <row r="9" spans="1:17" s="12" customFormat="1" x14ac:dyDescent="0.3">
      <c r="A9" s="123">
        <v>680</v>
      </c>
      <c r="B9" s="8" t="s">
        <v>17</v>
      </c>
      <c r="C9" s="13">
        <v>200</v>
      </c>
      <c r="D9" s="14">
        <f>57.32/100*15</f>
        <v>8.5980000000000008</v>
      </c>
      <c r="E9" s="14">
        <f>40.62/100*15</f>
        <v>6.0929999999999991</v>
      </c>
      <c r="F9" s="14">
        <f>257.61/100*15</f>
        <v>38.641500000000008</v>
      </c>
      <c r="G9" s="14">
        <v>266.75</v>
      </c>
      <c r="H9" s="14">
        <f>1.39/100*15</f>
        <v>0.20849999999999999</v>
      </c>
      <c r="I9" s="14"/>
      <c r="J9" s="14"/>
      <c r="K9" s="14">
        <f>4.05/100*15</f>
        <v>0.60750000000000004</v>
      </c>
      <c r="L9" s="14">
        <f>98.8/100*15</f>
        <v>14.82</v>
      </c>
      <c r="M9" s="14">
        <f>1359.5/100*15</f>
        <v>203.92500000000001</v>
      </c>
      <c r="N9" s="14">
        <f>905.5/100*15</f>
        <v>135.82499999999999</v>
      </c>
      <c r="O9" s="14">
        <f>30.4/100*15</f>
        <v>4.5599999999999996</v>
      </c>
    </row>
    <row r="10" spans="1:17" s="12" customFormat="1" x14ac:dyDescent="0.3">
      <c r="A10" s="123">
        <v>591</v>
      </c>
      <c r="B10" s="8" t="s">
        <v>123</v>
      </c>
      <c r="C10" s="123">
        <v>100</v>
      </c>
      <c r="D10" s="14">
        <v>23.46</v>
      </c>
      <c r="E10" s="14">
        <v>25.82</v>
      </c>
      <c r="F10" s="14">
        <v>0.5</v>
      </c>
      <c r="G10" s="14">
        <v>328</v>
      </c>
      <c r="H10" s="14"/>
      <c r="I10" s="14">
        <v>23.5</v>
      </c>
      <c r="J10" s="14">
        <v>0.08</v>
      </c>
      <c r="K10" s="14">
        <v>0.19</v>
      </c>
      <c r="L10" s="14">
        <v>56</v>
      </c>
      <c r="M10" s="14"/>
      <c r="N10" s="14">
        <v>20.28</v>
      </c>
      <c r="O10" s="14">
        <v>1.82</v>
      </c>
    </row>
    <row r="11" spans="1:17" s="12" customFormat="1" x14ac:dyDescent="0.3">
      <c r="A11" s="123">
        <v>1013</v>
      </c>
      <c r="B11" s="8" t="s">
        <v>100</v>
      </c>
      <c r="C11" s="84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17" s="12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7" s="12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7" s="22" customFormat="1" ht="16.2" customHeight="1" x14ac:dyDescent="0.3">
      <c r="A14" s="88" t="s">
        <v>11</v>
      </c>
      <c r="B14" s="89"/>
      <c r="C14" s="89"/>
      <c r="D14" s="97">
        <f>SUM(D8:D13)</f>
        <v>41.060500000000005</v>
      </c>
      <c r="E14" s="97">
        <f>SUM(E8:E13)</f>
        <v>38.313000000000002</v>
      </c>
      <c r="F14" s="97">
        <f>SUM(F8:F13)</f>
        <v>109.35400000000001</v>
      </c>
      <c r="G14" s="97">
        <f>SUM(G8:G13)</f>
        <v>1026.78</v>
      </c>
      <c r="H14" s="97"/>
      <c r="I14" s="97"/>
      <c r="J14" s="97"/>
      <c r="K14" s="97"/>
      <c r="L14" s="97"/>
      <c r="M14" s="97"/>
      <c r="N14" s="97"/>
      <c r="O14" s="97"/>
    </row>
    <row r="15" spans="1:17" s="9" customFormat="1" ht="16.2" customHeight="1" x14ac:dyDescent="0.3">
      <c r="A15" s="88" t="s">
        <v>15</v>
      </c>
      <c r="B15" s="89"/>
      <c r="C15" s="89"/>
      <c r="D15" s="130">
        <v>32.9</v>
      </c>
      <c r="E15" s="130">
        <v>41.89</v>
      </c>
      <c r="F15" s="130">
        <v>124.31</v>
      </c>
      <c r="G15" s="130">
        <v>1086.78</v>
      </c>
      <c r="H15" s="99"/>
      <c r="I15" s="99"/>
      <c r="J15" s="99"/>
      <c r="K15" s="99"/>
      <c r="L15" s="99"/>
      <c r="M15" s="99"/>
      <c r="N15" s="99"/>
      <c r="O15" s="99"/>
    </row>
    <row r="16" spans="1:17" ht="15" thickBot="1" x14ac:dyDescent="0.35"/>
    <row r="17" spans="2:12" s="12" customFormat="1" ht="40.200000000000003" thickBot="1" x14ac:dyDescent="0.35"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</row>
    <row r="18" spans="2:12" s="12" customFormat="1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2" s="12" customFormat="1" ht="15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</row>
    <row r="20" spans="2:12" ht="15" thickBot="1" x14ac:dyDescent="0.35">
      <c r="B20" s="174" t="s">
        <v>48</v>
      </c>
      <c r="C20" s="175"/>
      <c r="D20" s="175"/>
      <c r="E20" s="175"/>
      <c r="F20" s="24">
        <f>D15+COUNT(K20)</f>
        <v>32.9</v>
      </c>
      <c r="G20" s="24">
        <f>E15+SUM(J20)</f>
        <v>41.89</v>
      </c>
      <c r="H20" s="24">
        <f>F15</f>
        <v>124.31</v>
      </c>
      <c r="I20" s="24">
        <f>G15</f>
        <v>1086.78</v>
      </c>
    </row>
    <row r="22" spans="2:12" ht="36.75" customHeight="1" x14ac:dyDescent="0.3">
      <c r="B22" s="164" t="s">
        <v>94</v>
      </c>
      <c r="C22" s="164"/>
      <c r="D22" s="164"/>
      <c r="E22" s="164"/>
      <c r="F22" s="164"/>
      <c r="G22" s="164"/>
      <c r="H22" s="164"/>
      <c r="K22" s="11" t="s">
        <v>32</v>
      </c>
      <c r="L22" s="10" t="s">
        <v>41</v>
      </c>
    </row>
    <row r="23" spans="2:12" ht="24.75" customHeight="1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K23" s="11" t="s">
        <v>34</v>
      </c>
      <c r="L23" s="10" t="s">
        <v>55</v>
      </c>
    </row>
    <row r="24" spans="2:12" ht="28.8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K24" s="11" t="s">
        <v>36</v>
      </c>
      <c r="L24" s="10" t="s">
        <v>37</v>
      </c>
    </row>
    <row r="25" spans="2:12" ht="62.4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K25" s="11" t="s">
        <v>38</v>
      </c>
      <c r="L25" s="10" t="s">
        <v>39</v>
      </c>
    </row>
    <row r="26" spans="2:12" ht="26.4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</row>
    <row r="27" spans="2:12" x14ac:dyDescent="0.3">
      <c r="B27" s="67" t="s">
        <v>61</v>
      </c>
      <c r="C27" s="181">
        <v>150</v>
      </c>
      <c r="D27" s="182"/>
      <c r="E27" s="181">
        <v>150</v>
      </c>
      <c r="F27" s="182"/>
      <c r="G27" s="68">
        <f>90</f>
        <v>90</v>
      </c>
      <c r="H27" s="68">
        <v>90</v>
      </c>
    </row>
    <row r="28" spans="2:12" x14ac:dyDescent="0.3">
      <c r="B28" s="67" t="s">
        <v>62</v>
      </c>
      <c r="C28" s="181">
        <v>15</v>
      </c>
      <c r="D28" s="182"/>
      <c r="E28" s="181">
        <v>15</v>
      </c>
      <c r="F28" s="182"/>
      <c r="G28" s="68">
        <f>3+3.75+11.5</f>
        <v>18.25</v>
      </c>
      <c r="H28" s="68">
        <v>18.25</v>
      </c>
    </row>
    <row r="29" spans="2:12" x14ac:dyDescent="0.3">
      <c r="B29" s="69" t="s">
        <v>63</v>
      </c>
      <c r="C29" s="183">
        <v>45</v>
      </c>
      <c r="D29" s="184"/>
      <c r="E29" s="183">
        <v>45</v>
      </c>
      <c r="F29" s="184"/>
      <c r="G29" s="70">
        <f>35+40</f>
        <v>75</v>
      </c>
      <c r="H29" s="70">
        <v>75</v>
      </c>
    </row>
    <row r="30" spans="2:12" x14ac:dyDescent="0.3">
      <c r="B30" s="67" t="s">
        <v>64</v>
      </c>
      <c r="C30" s="181">
        <v>15</v>
      </c>
      <c r="D30" s="182"/>
      <c r="E30" s="181">
        <v>15</v>
      </c>
      <c r="F30" s="182"/>
      <c r="G30" s="68"/>
      <c r="H30" s="68"/>
    </row>
    <row r="31" spans="2:12" x14ac:dyDescent="0.3">
      <c r="B31" s="67" t="s">
        <v>65</v>
      </c>
      <c r="C31" s="181" t="s">
        <v>66</v>
      </c>
      <c r="D31" s="182"/>
      <c r="E31" s="185">
        <v>188</v>
      </c>
      <c r="F31" s="186"/>
      <c r="G31" s="68">
        <v>27</v>
      </c>
      <c r="H31" s="68">
        <v>20</v>
      </c>
    </row>
    <row r="32" spans="2:12" x14ac:dyDescent="0.3">
      <c r="B32" s="67" t="s">
        <v>67</v>
      </c>
      <c r="C32" s="181">
        <v>350</v>
      </c>
      <c r="D32" s="182"/>
      <c r="E32" s="181" t="s">
        <v>68</v>
      </c>
      <c r="F32" s="182"/>
      <c r="G32" s="68">
        <f>98.6+12.5+50+25+12.5+3.25+12+7.5</f>
        <v>221.35</v>
      </c>
      <c r="H32" s="83">
        <f>78.9+10+40+20+10+2.5+10+7.5</f>
        <v>178.9</v>
      </c>
    </row>
    <row r="33" spans="2:8" x14ac:dyDescent="0.3">
      <c r="B33" s="67" t="s">
        <v>69</v>
      </c>
      <c r="C33" s="181">
        <v>200</v>
      </c>
      <c r="D33" s="182"/>
      <c r="E33" s="181" t="s">
        <v>70</v>
      </c>
      <c r="F33" s="182"/>
      <c r="G33" s="68">
        <v>100</v>
      </c>
      <c r="H33" s="68">
        <v>100</v>
      </c>
    </row>
    <row r="34" spans="2:8" ht="26.4" x14ac:dyDescent="0.3">
      <c r="B34" s="67" t="s">
        <v>71</v>
      </c>
      <c r="C34" s="181">
        <v>15</v>
      </c>
      <c r="D34" s="182"/>
      <c r="E34" s="181">
        <v>15</v>
      </c>
      <c r="F34" s="182"/>
      <c r="G34" s="68">
        <v>20</v>
      </c>
      <c r="H34" s="68">
        <v>37</v>
      </c>
    </row>
    <row r="35" spans="2:8" ht="39.6" x14ac:dyDescent="0.3">
      <c r="B35" s="67" t="s">
        <v>72</v>
      </c>
      <c r="C35" s="181">
        <v>200</v>
      </c>
      <c r="D35" s="182"/>
      <c r="E35" s="181">
        <v>200</v>
      </c>
      <c r="F35" s="182"/>
      <c r="G35" s="68"/>
      <c r="H35" s="68"/>
    </row>
    <row r="36" spans="2:8" ht="26.4" x14ac:dyDescent="0.3">
      <c r="B36" s="67" t="s">
        <v>73</v>
      </c>
      <c r="C36" s="181" t="s">
        <v>74</v>
      </c>
      <c r="D36" s="182"/>
      <c r="E36" s="181">
        <v>70</v>
      </c>
      <c r="F36" s="182"/>
      <c r="G36" s="68">
        <f>81+40</f>
        <v>121</v>
      </c>
      <c r="H36" s="68">
        <f>71+25</f>
        <v>96</v>
      </c>
    </row>
    <row r="37" spans="2:8" ht="26.4" x14ac:dyDescent="0.3">
      <c r="B37" s="67" t="s">
        <v>75</v>
      </c>
      <c r="C37" s="181" t="s">
        <v>76</v>
      </c>
      <c r="D37" s="182"/>
      <c r="E37" s="181">
        <v>35</v>
      </c>
      <c r="F37" s="182"/>
      <c r="G37" s="68"/>
      <c r="H37" s="68"/>
    </row>
    <row r="38" spans="2:8" x14ac:dyDescent="0.3">
      <c r="B38" s="67" t="s">
        <v>77</v>
      </c>
      <c r="C38" s="181">
        <v>60</v>
      </c>
      <c r="D38" s="182"/>
      <c r="E38" s="181">
        <v>58</v>
      </c>
      <c r="F38" s="182"/>
      <c r="G38" s="68"/>
      <c r="H38" s="68"/>
    </row>
    <row r="39" spans="2:8" x14ac:dyDescent="0.3"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2:8" ht="26.4" x14ac:dyDescent="0.3">
      <c r="B40" s="67" t="s">
        <v>79</v>
      </c>
      <c r="C40" s="181">
        <v>300</v>
      </c>
      <c r="D40" s="182"/>
      <c r="E40" s="181">
        <v>300</v>
      </c>
      <c r="F40" s="182"/>
      <c r="G40" s="68">
        <v>100</v>
      </c>
      <c r="H40" s="68">
        <v>100</v>
      </c>
    </row>
    <row r="41" spans="2:8" ht="39.6" x14ac:dyDescent="0.3">
      <c r="B41" s="67" t="s">
        <v>80</v>
      </c>
      <c r="C41" s="181">
        <v>150</v>
      </c>
      <c r="D41" s="182"/>
      <c r="E41" s="181">
        <v>150</v>
      </c>
      <c r="F41" s="182"/>
      <c r="G41" s="68">
        <v>237</v>
      </c>
      <c r="H41" s="68">
        <v>230</v>
      </c>
    </row>
    <row r="42" spans="2:8" ht="26.4" x14ac:dyDescent="0.3">
      <c r="B42" s="67" t="s">
        <v>81</v>
      </c>
      <c r="C42" s="181">
        <v>50</v>
      </c>
      <c r="D42" s="182"/>
      <c r="E42" s="181">
        <v>50</v>
      </c>
      <c r="F42" s="182"/>
      <c r="G42" s="68">
        <v>83.7</v>
      </c>
      <c r="H42" s="68">
        <v>82</v>
      </c>
    </row>
    <row r="43" spans="2:8" x14ac:dyDescent="0.3">
      <c r="B43" s="67" t="s">
        <v>82</v>
      </c>
      <c r="C43" s="181">
        <v>10</v>
      </c>
      <c r="D43" s="182"/>
      <c r="E43" s="181">
        <v>9.8000000000000007</v>
      </c>
      <c r="F43" s="182"/>
      <c r="G43" s="68"/>
      <c r="H43" s="83"/>
    </row>
    <row r="44" spans="2:8" ht="26.4" x14ac:dyDescent="0.3">
      <c r="B44" s="67" t="s">
        <v>83</v>
      </c>
      <c r="C44" s="181">
        <v>10</v>
      </c>
      <c r="D44" s="182"/>
      <c r="E44" s="181">
        <v>10</v>
      </c>
      <c r="F44" s="182"/>
      <c r="G44" s="73">
        <v>12.5</v>
      </c>
      <c r="H44" s="73">
        <v>12.5</v>
      </c>
    </row>
    <row r="45" spans="2:8" x14ac:dyDescent="0.3">
      <c r="B45" s="67" t="s">
        <v>84</v>
      </c>
      <c r="C45" s="181">
        <v>30</v>
      </c>
      <c r="D45" s="182"/>
      <c r="E45" s="181">
        <v>30</v>
      </c>
      <c r="F45" s="182"/>
      <c r="G45" s="68">
        <v>30</v>
      </c>
      <c r="H45" s="68">
        <v>30</v>
      </c>
    </row>
    <row r="46" spans="2:8" x14ac:dyDescent="0.3">
      <c r="B46" s="67" t="s">
        <v>85</v>
      </c>
      <c r="C46" s="181">
        <v>15</v>
      </c>
      <c r="D46" s="182"/>
      <c r="E46" s="181">
        <v>15</v>
      </c>
      <c r="F46" s="182"/>
      <c r="G46" s="68">
        <v>15</v>
      </c>
      <c r="H46" s="68">
        <v>15</v>
      </c>
    </row>
    <row r="47" spans="2:8" x14ac:dyDescent="0.3">
      <c r="B47" s="67" t="s">
        <v>86</v>
      </c>
      <c r="C47" s="181" t="s">
        <v>87</v>
      </c>
      <c r="D47" s="182"/>
      <c r="E47" s="181">
        <v>40</v>
      </c>
      <c r="F47" s="182"/>
      <c r="G47" s="68">
        <v>40</v>
      </c>
      <c r="H47" s="68">
        <v>40</v>
      </c>
    </row>
    <row r="48" spans="2:8" x14ac:dyDescent="0.3">
      <c r="B48" s="67" t="s">
        <v>88</v>
      </c>
      <c r="C48" s="181">
        <v>40</v>
      </c>
      <c r="D48" s="182"/>
      <c r="E48" s="185">
        <v>40</v>
      </c>
      <c r="F48" s="186"/>
      <c r="G48" s="68">
        <f>5+20+2.5+6+6</f>
        <v>39.5</v>
      </c>
      <c r="H48" s="68">
        <v>39.5</v>
      </c>
    </row>
    <row r="49" spans="2:8" x14ac:dyDescent="0.3">
      <c r="B49" s="67" t="s">
        <v>89</v>
      </c>
      <c r="C49" s="185">
        <v>10</v>
      </c>
      <c r="D49" s="186"/>
      <c r="E49" s="181">
        <v>10</v>
      </c>
      <c r="F49" s="182"/>
      <c r="G49" s="68"/>
      <c r="H49" s="68"/>
    </row>
    <row r="50" spans="2:8" x14ac:dyDescent="0.3">
      <c r="B50" s="67" t="s">
        <v>90</v>
      </c>
      <c r="C50" s="181">
        <v>0.4</v>
      </c>
      <c r="D50" s="182"/>
      <c r="E50" s="181">
        <v>0.4</v>
      </c>
      <c r="F50" s="182"/>
      <c r="G50" s="68">
        <v>0.5</v>
      </c>
      <c r="H50" s="68">
        <v>0.5</v>
      </c>
    </row>
    <row r="51" spans="2:8" x14ac:dyDescent="0.3">
      <c r="B51" s="67" t="s">
        <v>91</v>
      </c>
      <c r="C51" s="181">
        <v>1.2</v>
      </c>
      <c r="D51" s="182"/>
      <c r="E51" s="181">
        <v>1.2</v>
      </c>
      <c r="F51" s="182"/>
      <c r="G51" s="68"/>
      <c r="H51" s="68"/>
    </row>
    <row r="52" spans="2:8" x14ac:dyDescent="0.3">
      <c r="B52" s="67" t="s">
        <v>92</v>
      </c>
      <c r="C52" s="181">
        <v>1</v>
      </c>
      <c r="D52" s="182"/>
      <c r="E52" s="181">
        <v>1</v>
      </c>
      <c r="F52" s="182"/>
      <c r="G52" s="68"/>
      <c r="H52" s="68"/>
    </row>
    <row r="53" spans="2:8" x14ac:dyDescent="0.3">
      <c r="B53" s="67" t="s">
        <v>93</v>
      </c>
      <c r="C53" s="181">
        <v>5</v>
      </c>
      <c r="D53" s="182"/>
      <c r="E53" s="181">
        <v>5</v>
      </c>
      <c r="F53" s="182"/>
      <c r="G53" s="68">
        <v>3.8</v>
      </c>
      <c r="H53" s="68">
        <v>3.8</v>
      </c>
    </row>
  </sheetData>
  <sheetProtection formatCells="0" formatColumns="0" formatRows="0" insertColumns="0" insertRows="0" insertHyperlinks="0" deleteColumns="0" deleteRows="0" sort="0" autoFilter="0" pivotTables="0"/>
  <mergeCells count="76">
    <mergeCell ref="E53:F53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C51:D51"/>
    <mergeCell ref="C52:D52"/>
    <mergeCell ref="C53:D53"/>
    <mergeCell ref="E26:F26"/>
    <mergeCell ref="E25:F2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B22:H22"/>
    <mergeCell ref="C23:F23"/>
    <mergeCell ref="B24:B25"/>
    <mergeCell ref="C24:D24"/>
    <mergeCell ref="E24:F24"/>
    <mergeCell ref="G23:H23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54"/>
  <sheetViews>
    <sheetView view="pageBreakPreview" zoomScale="80" zoomScaleNormal="100" zoomScaleSheetLayoutView="80" workbookViewId="0">
      <selection activeCell="C13" sqref="C13"/>
    </sheetView>
  </sheetViews>
  <sheetFormatPr defaultRowHeight="14.4" x14ac:dyDescent="0.3"/>
  <cols>
    <col min="1" max="1" width="12.109375" customWidth="1"/>
    <col min="2" max="2" width="38.5546875" bestFit="1" customWidth="1"/>
    <col min="7" max="7" width="10.33203125" customWidth="1"/>
    <col min="8" max="8" width="11.44140625" customWidth="1"/>
    <col min="9" max="9" width="11.109375" customWidth="1"/>
    <col min="12" max="12" width="10.109375" bestFit="1" customWidth="1"/>
    <col min="13" max="13" width="9.33203125" customWidth="1"/>
  </cols>
  <sheetData>
    <row r="1" spans="1:15" ht="15.6" x14ac:dyDescent="0.3">
      <c r="A1" s="11" t="s">
        <v>32</v>
      </c>
      <c r="B1" s="10" t="s">
        <v>42</v>
      </c>
    </row>
    <row r="2" spans="1:15" ht="15.6" x14ac:dyDescent="0.3">
      <c r="A2" s="11" t="s">
        <v>34</v>
      </c>
      <c r="B2" s="10" t="s">
        <v>55</v>
      </c>
    </row>
    <row r="3" spans="1:15" ht="15.6" x14ac:dyDescent="0.3">
      <c r="A3" s="11" t="s">
        <v>36</v>
      </c>
      <c r="B3" s="10" t="s">
        <v>37</v>
      </c>
    </row>
    <row r="4" spans="1:15" ht="46.8" x14ac:dyDescent="0.3">
      <c r="A4" s="11" t="s">
        <v>38</v>
      </c>
      <c r="B4" s="18" t="s">
        <v>115</v>
      </c>
    </row>
    <row r="5" spans="1:15" ht="15.6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</row>
    <row r="6" spans="1:15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5" s="22" customFormat="1" ht="16.2" customHeight="1" x14ac:dyDescent="0.3">
      <c r="A7" s="247" t="s">
        <v>31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22" customFormat="1" ht="27.6" x14ac:dyDescent="0.3">
      <c r="A8" s="123">
        <v>201</v>
      </c>
      <c r="B8" s="8" t="s">
        <v>125</v>
      </c>
      <c r="C8" s="13">
        <v>300</v>
      </c>
      <c r="D8" s="14">
        <f>5.93/4+0.8</f>
        <v>2.2824999999999998</v>
      </c>
      <c r="E8" s="14">
        <f>19.67/4+0.2</f>
        <v>5.1175000000000006</v>
      </c>
      <c r="F8" s="14">
        <f>24.36/4</f>
        <v>6.09</v>
      </c>
      <c r="G8" s="14">
        <v>134.25</v>
      </c>
      <c r="H8" s="14">
        <f>0.17/4</f>
        <v>4.2500000000000003E-2</v>
      </c>
      <c r="I8" s="14">
        <f>39.5/4</f>
        <v>9.875</v>
      </c>
      <c r="J8" s="14"/>
      <c r="K8" s="14">
        <f>9.2/4</f>
        <v>2.2999999999999998</v>
      </c>
      <c r="L8" s="14">
        <f>143.5/4+2</f>
        <v>37.875</v>
      </c>
      <c r="M8" s="14">
        <f>134.3/4</f>
        <v>33.575000000000003</v>
      </c>
      <c r="N8" s="14">
        <f>56.7/4</f>
        <v>14.175000000000001</v>
      </c>
      <c r="O8" s="14">
        <f>2.3/4</f>
        <v>0.57499999999999996</v>
      </c>
    </row>
    <row r="9" spans="1:15" s="21" customFormat="1" ht="13.8" x14ac:dyDescent="0.3">
      <c r="A9" s="123">
        <v>234</v>
      </c>
      <c r="B9" s="8" t="s">
        <v>126</v>
      </c>
      <c r="C9" s="13">
        <v>100</v>
      </c>
      <c r="D9" s="14">
        <v>13.98</v>
      </c>
      <c r="E9" s="14">
        <f>3.71*2</f>
        <v>7.42</v>
      </c>
      <c r="F9" s="14">
        <f>9.97*2</f>
        <v>19.940000000000001</v>
      </c>
      <c r="G9" s="14">
        <f>120*2</f>
        <v>240</v>
      </c>
      <c r="H9" s="14">
        <f>0.047*2</f>
        <v>9.4E-2</v>
      </c>
      <c r="I9" s="14">
        <f>0.88*2</f>
        <v>1.76</v>
      </c>
      <c r="J9" s="14">
        <f>15*2</f>
        <v>30</v>
      </c>
      <c r="K9" s="14">
        <f>2.61*2</f>
        <v>5.22</v>
      </c>
      <c r="L9" s="14">
        <f>40.92*2</f>
        <v>81.84</v>
      </c>
      <c r="M9" s="14">
        <f>92.31*2</f>
        <v>184.62</v>
      </c>
      <c r="N9" s="14">
        <f>27.56*2</f>
        <v>55.12</v>
      </c>
      <c r="O9" s="14">
        <f>0.77*2</f>
        <v>1.54</v>
      </c>
    </row>
    <row r="10" spans="1:15" s="12" customFormat="1" x14ac:dyDescent="0.3">
      <c r="A10" s="123">
        <v>315</v>
      </c>
      <c r="B10" s="8" t="s">
        <v>97</v>
      </c>
      <c r="C10" s="108">
        <v>200</v>
      </c>
      <c r="D10" s="14">
        <v>25.81</v>
      </c>
      <c r="E10" s="14">
        <v>40.46</v>
      </c>
      <c r="F10" s="14">
        <v>117.85</v>
      </c>
      <c r="G10" s="14">
        <v>938.75</v>
      </c>
      <c r="H10" s="14">
        <v>0.33</v>
      </c>
      <c r="I10" s="14">
        <v>17.079999999999998</v>
      </c>
      <c r="J10" s="14">
        <v>0</v>
      </c>
      <c r="K10" s="14">
        <v>1.95</v>
      </c>
      <c r="L10" s="14">
        <v>58.75</v>
      </c>
      <c r="M10" s="14">
        <v>40.69</v>
      </c>
      <c r="N10" s="14">
        <v>20.85</v>
      </c>
      <c r="O10" s="14">
        <v>0.83</v>
      </c>
    </row>
    <row r="11" spans="1:15" s="12" customFormat="1" x14ac:dyDescent="0.3">
      <c r="A11" s="42">
        <v>94</v>
      </c>
      <c r="B11" s="8" t="s">
        <v>14</v>
      </c>
      <c r="C11" s="13">
        <v>50</v>
      </c>
      <c r="D11" s="14">
        <v>2.2400000000000002</v>
      </c>
      <c r="E11" s="14">
        <v>0.88</v>
      </c>
      <c r="F11" s="14">
        <v>19.760000000000002</v>
      </c>
      <c r="G11" s="14">
        <v>91.96</v>
      </c>
      <c r="H11" s="14">
        <v>0.04</v>
      </c>
      <c r="I11" s="14"/>
      <c r="J11" s="14"/>
      <c r="K11" s="14">
        <v>0.36</v>
      </c>
      <c r="L11" s="14">
        <v>9.1999999999999993</v>
      </c>
      <c r="M11" s="14">
        <v>42.4</v>
      </c>
      <c r="N11" s="14">
        <v>10</v>
      </c>
      <c r="O11" s="14">
        <v>1.24</v>
      </c>
    </row>
    <row r="12" spans="1:15" s="12" customFormat="1" x14ac:dyDescent="0.3">
      <c r="A12" s="123">
        <v>1013</v>
      </c>
      <c r="B12" s="8" t="s">
        <v>100</v>
      </c>
      <c r="C12" s="84">
        <v>200</v>
      </c>
      <c r="D12" s="85">
        <f>1</f>
        <v>1</v>
      </c>
      <c r="E12" s="84">
        <v>0</v>
      </c>
      <c r="F12" s="85">
        <f>101/5</f>
        <v>20.2</v>
      </c>
      <c r="G12" s="84">
        <f>424/5</f>
        <v>84.8</v>
      </c>
      <c r="H12" s="85">
        <f>0.11/5</f>
        <v>2.1999999999999999E-2</v>
      </c>
      <c r="I12" s="84">
        <f>30/5</f>
        <v>6</v>
      </c>
      <c r="J12" s="85">
        <v>0</v>
      </c>
      <c r="K12" s="84">
        <f>1/5</f>
        <v>0.2</v>
      </c>
      <c r="L12" s="85">
        <f>70/5</f>
        <v>14</v>
      </c>
      <c r="M12" s="84">
        <f>70/5</f>
        <v>14</v>
      </c>
      <c r="N12" s="85">
        <f>40/5</f>
        <v>8</v>
      </c>
      <c r="O12" s="86">
        <f>14/5</f>
        <v>2.8</v>
      </c>
    </row>
    <row r="13" spans="1:15" s="12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5" s="9" customFormat="1" ht="16.2" customHeight="1" x14ac:dyDescent="0.3">
      <c r="A14" s="88" t="s">
        <v>11</v>
      </c>
      <c r="B14" s="89"/>
      <c r="C14" s="89"/>
      <c r="D14" s="97">
        <f>SUM(D8:D13)</f>
        <v>48.472499999999997</v>
      </c>
      <c r="E14" s="97">
        <f>SUM(E8:E13)</f>
        <v>54.277500000000003</v>
      </c>
      <c r="F14" s="97">
        <f>SUM(F8:F13)</f>
        <v>203.15999999999997</v>
      </c>
      <c r="G14" s="97">
        <f>SUM(G8:G13)</f>
        <v>1583.28</v>
      </c>
      <c r="H14" s="97"/>
      <c r="I14" s="97"/>
      <c r="J14" s="97"/>
      <c r="K14" s="97"/>
      <c r="L14" s="97"/>
      <c r="M14" s="97"/>
      <c r="N14" s="97"/>
      <c r="O14" s="97"/>
    </row>
    <row r="15" spans="1:15" s="9" customFormat="1" ht="16.2" customHeight="1" x14ac:dyDescent="0.3">
      <c r="A15" s="88" t="s">
        <v>15</v>
      </c>
      <c r="B15" s="89"/>
      <c r="C15" s="89"/>
      <c r="D15" s="91">
        <v>24</v>
      </c>
      <c r="E15" s="91">
        <v>17.5</v>
      </c>
      <c r="F15" s="91">
        <v>93.2</v>
      </c>
      <c r="G15" s="91">
        <f>SUM(G14)</f>
        <v>1583.28</v>
      </c>
      <c r="H15" s="97"/>
      <c r="I15" s="97"/>
      <c r="J15" s="97"/>
      <c r="K15" s="97"/>
      <c r="L15" s="97"/>
      <c r="M15" s="97"/>
      <c r="N15" s="97"/>
      <c r="O15" s="97"/>
    </row>
    <row r="16" spans="1:15" ht="15" thickBot="1" x14ac:dyDescent="0.35"/>
    <row r="17" spans="2:12" ht="27" thickBot="1" x14ac:dyDescent="0.35"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</row>
    <row r="18" spans="2:12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2" ht="15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</row>
    <row r="20" spans="2:12" ht="15" thickBot="1" x14ac:dyDescent="0.35">
      <c r="B20" s="174" t="s">
        <v>48</v>
      </c>
      <c r="C20" s="175"/>
      <c r="D20" s="175"/>
      <c r="E20" s="175"/>
      <c r="F20" s="33">
        <f>D15</f>
        <v>24</v>
      </c>
      <c r="G20" s="33">
        <f>E15</f>
        <v>17.5</v>
      </c>
      <c r="H20" s="33">
        <f>F15</f>
        <v>93.2</v>
      </c>
      <c r="I20" s="33">
        <f>G15</f>
        <v>1583.28</v>
      </c>
    </row>
    <row r="22" spans="2:12" ht="35.25" customHeight="1" x14ac:dyDescent="0.3">
      <c r="B22" s="164" t="s">
        <v>94</v>
      </c>
      <c r="C22" s="164"/>
      <c r="D22" s="164"/>
      <c r="E22" s="164"/>
      <c r="F22" s="164"/>
      <c r="G22" s="164"/>
      <c r="H22" s="164"/>
    </row>
    <row r="23" spans="2:12" ht="31.5" customHeight="1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K23" s="11" t="s">
        <v>32</v>
      </c>
      <c r="L23" s="10" t="s">
        <v>42</v>
      </c>
    </row>
    <row r="24" spans="2:12" ht="31.2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K24" s="11" t="s">
        <v>34</v>
      </c>
      <c r="L24" s="10" t="s">
        <v>55</v>
      </c>
    </row>
    <row r="25" spans="2:12" ht="28.8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K25" s="11" t="s">
        <v>36</v>
      </c>
      <c r="L25" s="10" t="s">
        <v>37</v>
      </c>
    </row>
    <row r="26" spans="2:12" ht="62.4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  <c r="K26" s="11" t="s">
        <v>38</v>
      </c>
      <c r="L26" s="10" t="s">
        <v>39</v>
      </c>
    </row>
    <row r="27" spans="2:12" x14ac:dyDescent="0.3">
      <c r="B27" s="67" t="s">
        <v>61</v>
      </c>
      <c r="C27" s="181">
        <v>150</v>
      </c>
      <c r="D27" s="182"/>
      <c r="E27" s="181">
        <v>150</v>
      </c>
      <c r="F27" s="182"/>
      <c r="G27" s="68">
        <f>18+10+50+40</f>
        <v>118</v>
      </c>
      <c r="H27" s="68">
        <v>118</v>
      </c>
    </row>
    <row r="28" spans="2:12" x14ac:dyDescent="0.3">
      <c r="B28" s="67" t="s">
        <v>62</v>
      </c>
      <c r="C28" s="181">
        <v>15</v>
      </c>
      <c r="D28" s="182"/>
      <c r="E28" s="181">
        <v>15</v>
      </c>
      <c r="F28" s="182"/>
      <c r="G28" s="68">
        <v>9.6</v>
      </c>
      <c r="H28" s="68">
        <v>9.6</v>
      </c>
    </row>
    <row r="29" spans="2:12" x14ac:dyDescent="0.3">
      <c r="B29" s="69" t="s">
        <v>63</v>
      </c>
      <c r="C29" s="183">
        <v>45</v>
      </c>
      <c r="D29" s="184"/>
      <c r="E29" s="183">
        <v>45</v>
      </c>
      <c r="F29" s="184"/>
      <c r="G29" s="70">
        <f>10+23</f>
        <v>33</v>
      </c>
      <c r="H29" s="70">
        <v>33</v>
      </c>
    </row>
    <row r="30" spans="2:12" x14ac:dyDescent="0.3">
      <c r="B30" s="67" t="s">
        <v>64</v>
      </c>
      <c r="C30" s="181">
        <v>15</v>
      </c>
      <c r="D30" s="182"/>
      <c r="E30" s="181">
        <v>15</v>
      </c>
      <c r="F30" s="182"/>
      <c r="G30" s="68"/>
      <c r="H30" s="68"/>
    </row>
    <row r="31" spans="2:12" x14ac:dyDescent="0.3">
      <c r="B31" s="67" t="s">
        <v>65</v>
      </c>
      <c r="C31" s="181" t="s">
        <v>66</v>
      </c>
      <c r="D31" s="182"/>
      <c r="E31" s="185">
        <v>188</v>
      </c>
      <c r="F31" s="186"/>
      <c r="G31" s="68">
        <v>33.25</v>
      </c>
      <c r="H31" s="68">
        <v>25</v>
      </c>
    </row>
    <row r="32" spans="2:12" x14ac:dyDescent="0.3">
      <c r="B32" s="67" t="s">
        <v>67</v>
      </c>
      <c r="C32" s="181">
        <v>350</v>
      </c>
      <c r="D32" s="182"/>
      <c r="E32" s="181" t="s">
        <v>68</v>
      </c>
      <c r="F32" s="182"/>
      <c r="G32" s="68">
        <f>85.6+37.5+12.5+12+142+3+5+6</f>
        <v>303.60000000000002</v>
      </c>
      <c r="H32" s="83">
        <f>67+30+10+10+114+2.5+4+6</f>
        <v>243.5</v>
      </c>
    </row>
    <row r="33" spans="2:8" x14ac:dyDescent="0.3">
      <c r="B33" s="67" t="s">
        <v>69</v>
      </c>
      <c r="C33" s="181">
        <v>200</v>
      </c>
      <c r="D33" s="182"/>
      <c r="E33" s="181" t="s">
        <v>70</v>
      </c>
      <c r="F33" s="182"/>
      <c r="G33" s="68">
        <f>135.7</f>
        <v>135.69999999999999</v>
      </c>
      <c r="H33" s="68">
        <v>125</v>
      </c>
    </row>
    <row r="34" spans="2:8" x14ac:dyDescent="0.3">
      <c r="B34" s="67" t="s">
        <v>71</v>
      </c>
      <c r="C34" s="181">
        <v>15</v>
      </c>
      <c r="D34" s="182"/>
      <c r="E34" s="181">
        <v>15</v>
      </c>
      <c r="F34" s="182"/>
      <c r="G34" s="68">
        <v>5.0999999999999996</v>
      </c>
      <c r="H34" s="68">
        <v>5</v>
      </c>
    </row>
    <row r="35" spans="2:8" ht="26.4" x14ac:dyDescent="0.3">
      <c r="B35" s="67" t="s">
        <v>72</v>
      </c>
      <c r="C35" s="181">
        <v>200</v>
      </c>
      <c r="D35" s="182"/>
      <c r="E35" s="181">
        <v>200</v>
      </c>
      <c r="F35" s="182"/>
      <c r="G35" s="68">
        <v>200</v>
      </c>
      <c r="H35" s="68">
        <v>200</v>
      </c>
    </row>
    <row r="36" spans="2:8" x14ac:dyDescent="0.3">
      <c r="B36" s="67" t="s">
        <v>73</v>
      </c>
      <c r="C36" s="181" t="s">
        <v>74</v>
      </c>
      <c r="D36" s="182"/>
      <c r="E36" s="181">
        <v>70</v>
      </c>
      <c r="F36" s="182"/>
      <c r="G36" s="68">
        <v>40</v>
      </c>
      <c r="H36" s="68">
        <v>25</v>
      </c>
    </row>
    <row r="37" spans="2:8" ht="26.4" x14ac:dyDescent="0.3">
      <c r="B37" s="67" t="s">
        <v>75</v>
      </c>
      <c r="C37" s="181" t="s">
        <v>76</v>
      </c>
      <c r="D37" s="182"/>
      <c r="E37" s="181">
        <v>35</v>
      </c>
      <c r="F37" s="182"/>
      <c r="G37" s="68"/>
      <c r="H37" s="68"/>
    </row>
    <row r="38" spans="2:8" x14ac:dyDescent="0.3">
      <c r="B38" s="67" t="s">
        <v>77</v>
      </c>
      <c r="C38" s="181">
        <v>60</v>
      </c>
      <c r="D38" s="182"/>
      <c r="E38" s="181">
        <v>58</v>
      </c>
      <c r="F38" s="182"/>
      <c r="G38" s="68">
        <v>90</v>
      </c>
      <c r="H38" s="68">
        <v>66</v>
      </c>
    </row>
    <row r="39" spans="2:8" x14ac:dyDescent="0.3"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2:8" x14ac:dyDescent="0.3">
      <c r="B40" s="67" t="s">
        <v>79</v>
      </c>
      <c r="C40" s="181">
        <v>300</v>
      </c>
      <c r="D40" s="182"/>
      <c r="E40" s="181">
        <v>300</v>
      </c>
      <c r="F40" s="182"/>
      <c r="G40" s="68">
        <f>26+50+100</f>
        <v>176</v>
      </c>
      <c r="H40" s="68">
        <v>176</v>
      </c>
    </row>
    <row r="41" spans="2:8" ht="26.4" x14ac:dyDescent="0.3">
      <c r="B41" s="67" t="s">
        <v>80</v>
      </c>
      <c r="C41" s="181">
        <v>150</v>
      </c>
      <c r="D41" s="182"/>
      <c r="E41" s="181">
        <v>150</v>
      </c>
      <c r="F41" s="182"/>
      <c r="G41" s="68">
        <v>206</v>
      </c>
      <c r="H41" s="68">
        <v>200</v>
      </c>
    </row>
    <row r="42" spans="2:8" x14ac:dyDescent="0.3">
      <c r="B42" s="67" t="s">
        <v>81</v>
      </c>
      <c r="C42" s="181">
        <v>50</v>
      </c>
      <c r="D42" s="182"/>
      <c r="E42" s="181">
        <v>50</v>
      </c>
      <c r="F42" s="182"/>
      <c r="G42" s="68"/>
      <c r="H42" s="68"/>
    </row>
    <row r="43" spans="2:8" x14ac:dyDescent="0.3">
      <c r="B43" s="67" t="s">
        <v>82</v>
      </c>
      <c r="C43" s="181">
        <v>10</v>
      </c>
      <c r="D43" s="182"/>
      <c r="E43" s="181">
        <v>9.8000000000000007</v>
      </c>
      <c r="F43" s="182"/>
      <c r="G43" s="68"/>
      <c r="H43" s="83"/>
    </row>
    <row r="44" spans="2:8" x14ac:dyDescent="0.3">
      <c r="B44" s="67" t="s">
        <v>83</v>
      </c>
      <c r="C44" s="181">
        <v>10</v>
      </c>
      <c r="D44" s="182"/>
      <c r="E44" s="181">
        <v>10</v>
      </c>
      <c r="F44" s="182"/>
      <c r="G44" s="73">
        <v>22</v>
      </c>
      <c r="H44" s="73">
        <v>22</v>
      </c>
    </row>
    <row r="45" spans="2:8" x14ac:dyDescent="0.3">
      <c r="B45" s="67" t="s">
        <v>84</v>
      </c>
      <c r="C45" s="181">
        <v>30</v>
      </c>
      <c r="D45" s="182"/>
      <c r="E45" s="181">
        <v>30</v>
      </c>
      <c r="F45" s="182"/>
      <c r="G45" s="68">
        <v>20</v>
      </c>
      <c r="H45" s="68">
        <v>20</v>
      </c>
    </row>
    <row r="46" spans="2:8" x14ac:dyDescent="0.3">
      <c r="B46" s="67" t="s">
        <v>85</v>
      </c>
      <c r="C46" s="181">
        <v>15</v>
      </c>
      <c r="D46" s="182"/>
      <c r="E46" s="181">
        <v>15</v>
      </c>
      <c r="F46" s="182"/>
      <c r="G46" s="68">
        <f>6+10+5+2+4</f>
        <v>27</v>
      </c>
      <c r="H46" s="68">
        <v>27</v>
      </c>
    </row>
    <row r="47" spans="2:8" x14ac:dyDescent="0.3">
      <c r="B47" s="67" t="s">
        <v>86</v>
      </c>
      <c r="C47" s="181" t="s">
        <v>87</v>
      </c>
      <c r="D47" s="182"/>
      <c r="E47" s="181">
        <v>40</v>
      </c>
      <c r="F47" s="182"/>
      <c r="G47" s="68">
        <v>3</v>
      </c>
      <c r="H47" s="68">
        <v>3</v>
      </c>
    </row>
    <row r="48" spans="2:8" x14ac:dyDescent="0.3">
      <c r="B48" s="67" t="s">
        <v>88</v>
      </c>
      <c r="C48" s="181">
        <v>40</v>
      </c>
      <c r="D48" s="182"/>
      <c r="E48" s="185">
        <v>40</v>
      </c>
      <c r="F48" s="186"/>
      <c r="G48" s="68">
        <f>3+4+3+20+1</f>
        <v>31</v>
      </c>
      <c r="H48" s="68">
        <v>31</v>
      </c>
    </row>
    <row r="49" spans="2:8" x14ac:dyDescent="0.3">
      <c r="B49" s="67" t="s">
        <v>89</v>
      </c>
      <c r="C49" s="185">
        <v>10</v>
      </c>
      <c r="D49" s="186"/>
      <c r="E49" s="181">
        <v>10</v>
      </c>
      <c r="F49" s="182"/>
      <c r="G49" s="68">
        <v>20</v>
      </c>
      <c r="H49" s="68">
        <v>20</v>
      </c>
    </row>
    <row r="50" spans="2:8" x14ac:dyDescent="0.3">
      <c r="B50" s="67" t="s">
        <v>90</v>
      </c>
      <c r="C50" s="181">
        <v>0.4</v>
      </c>
      <c r="D50" s="182"/>
      <c r="E50" s="181">
        <v>0.4</v>
      </c>
      <c r="F50" s="182"/>
      <c r="G50" s="68"/>
      <c r="H50" s="68"/>
    </row>
    <row r="51" spans="2:8" x14ac:dyDescent="0.3">
      <c r="B51" s="67" t="s">
        <v>91</v>
      </c>
      <c r="C51" s="181">
        <v>1.2</v>
      </c>
      <c r="D51" s="182"/>
      <c r="E51" s="181">
        <v>1.2</v>
      </c>
      <c r="F51" s="182"/>
      <c r="G51" s="68"/>
      <c r="H51" s="68"/>
    </row>
    <row r="52" spans="2:8" x14ac:dyDescent="0.3">
      <c r="B52" s="67" t="s">
        <v>92</v>
      </c>
      <c r="C52" s="181">
        <v>1</v>
      </c>
      <c r="D52" s="182"/>
      <c r="E52" s="181">
        <v>1</v>
      </c>
      <c r="F52" s="182"/>
      <c r="G52" s="68"/>
      <c r="H52" s="68"/>
    </row>
    <row r="53" spans="2:8" x14ac:dyDescent="0.3">
      <c r="B53" s="67" t="s">
        <v>93</v>
      </c>
      <c r="C53" s="181">
        <v>5</v>
      </c>
      <c r="D53" s="182"/>
      <c r="E53" s="181">
        <v>5</v>
      </c>
      <c r="F53" s="182"/>
      <c r="G53" s="68">
        <v>3</v>
      </c>
      <c r="H53" s="68">
        <v>3</v>
      </c>
    </row>
    <row r="54" spans="2:8" x14ac:dyDescent="0.3">
      <c r="B54" s="15"/>
      <c r="C54" s="15"/>
      <c r="D54" s="15"/>
      <c r="E54" s="15"/>
      <c r="F54" s="15"/>
      <c r="G54" s="15"/>
      <c r="H54" s="15"/>
    </row>
  </sheetData>
  <sheetProtection formatCells="0" formatColumns="0" formatRows="0" insertColumns="0" insertRows="0" insertHyperlinks="0" deleteColumns="0" deleteRows="0" sort="0" autoFilter="0" pivotTables="0"/>
  <mergeCells count="76">
    <mergeCell ref="E30:F30"/>
    <mergeCell ref="E29:F29"/>
    <mergeCell ref="E28:F28"/>
    <mergeCell ref="E27:F27"/>
    <mergeCell ref="E26:F26"/>
    <mergeCell ref="E35:F35"/>
    <mergeCell ref="E34:F34"/>
    <mergeCell ref="E33:F33"/>
    <mergeCell ref="E32:F32"/>
    <mergeCell ref="E31:F31"/>
    <mergeCell ref="E40:F40"/>
    <mergeCell ref="E39:F39"/>
    <mergeCell ref="E38:F38"/>
    <mergeCell ref="E37:F37"/>
    <mergeCell ref="E36:F36"/>
    <mergeCell ref="E45:F45"/>
    <mergeCell ref="E44:F44"/>
    <mergeCell ref="E43:F43"/>
    <mergeCell ref="E42:F42"/>
    <mergeCell ref="E41:F41"/>
    <mergeCell ref="E50:F50"/>
    <mergeCell ref="E49:F49"/>
    <mergeCell ref="E48:F48"/>
    <mergeCell ref="E47:F47"/>
    <mergeCell ref="E46:F46"/>
    <mergeCell ref="C51:D51"/>
    <mergeCell ref="C52:D52"/>
    <mergeCell ref="C53:D53"/>
    <mergeCell ref="E53:F53"/>
    <mergeCell ref="E52:F52"/>
    <mergeCell ref="E51:F51"/>
    <mergeCell ref="C46:D46"/>
    <mergeCell ref="C47:D47"/>
    <mergeCell ref="C48:D48"/>
    <mergeCell ref="C50:D50"/>
    <mergeCell ref="C49:D49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5:D35"/>
    <mergeCell ref="C34:D34"/>
    <mergeCell ref="C26:D26"/>
    <mergeCell ref="C27:D27"/>
    <mergeCell ref="C28:D28"/>
    <mergeCell ref="C29:D29"/>
    <mergeCell ref="C30:D30"/>
    <mergeCell ref="B22:H22"/>
    <mergeCell ref="C23:F23"/>
    <mergeCell ref="B24:B25"/>
    <mergeCell ref="C24:D24"/>
    <mergeCell ref="E24:F24"/>
    <mergeCell ref="G23:H23"/>
    <mergeCell ref="E25:F25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4" fitToWidth="2" fitToHeight="2" orientation="landscape" r:id="rId1"/>
  <rowBreaks count="1" manualBreakCount="1">
    <brk id="2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60"/>
  <sheetViews>
    <sheetView tabSelected="1" view="pageBreakPreview" zoomScale="80" zoomScaleNormal="100" zoomScaleSheetLayoutView="80" workbookViewId="0">
      <selection activeCell="C14" sqref="C14"/>
    </sheetView>
  </sheetViews>
  <sheetFormatPr defaultRowHeight="14.4" x14ac:dyDescent="0.3"/>
  <cols>
    <col min="2" max="2" width="37.109375" bestFit="1" customWidth="1"/>
    <col min="6" max="6" width="10.33203125" customWidth="1"/>
    <col min="7" max="7" width="20.44140625" customWidth="1"/>
    <col min="8" max="8" width="11.44140625" customWidth="1"/>
    <col min="9" max="9" width="12.109375" customWidth="1"/>
    <col min="10" max="10" width="14.33203125" customWidth="1"/>
    <col min="12" max="13" width="10" bestFit="1" customWidth="1"/>
  </cols>
  <sheetData>
    <row r="1" spans="1:16" ht="15.6" x14ac:dyDescent="0.3">
      <c r="A1" s="11" t="s">
        <v>32</v>
      </c>
      <c r="B1" s="10" t="s">
        <v>43</v>
      </c>
    </row>
    <row r="2" spans="1:16" ht="22.5" customHeight="1" x14ac:dyDescent="0.3">
      <c r="A2" s="11" t="s">
        <v>34</v>
      </c>
      <c r="B2" s="10" t="s">
        <v>55</v>
      </c>
    </row>
    <row r="3" spans="1:16" ht="15.6" x14ac:dyDescent="0.3">
      <c r="A3" s="11" t="s">
        <v>36</v>
      </c>
      <c r="B3" s="10" t="s">
        <v>37</v>
      </c>
    </row>
    <row r="4" spans="1:16" ht="47.25" customHeight="1" x14ac:dyDescent="0.3">
      <c r="A4" s="11" t="s">
        <v>38</v>
      </c>
      <c r="B4" s="18" t="s">
        <v>115</v>
      </c>
    </row>
    <row r="5" spans="1:16" ht="15.6" x14ac:dyDescent="0.3">
      <c r="A5" s="243" t="s">
        <v>26</v>
      </c>
      <c r="B5" s="243" t="s">
        <v>19</v>
      </c>
      <c r="C5" s="243" t="s">
        <v>21</v>
      </c>
      <c r="D5" s="240" t="s">
        <v>29</v>
      </c>
      <c r="E5" s="241"/>
      <c r="F5" s="242"/>
      <c r="G5" s="243" t="s">
        <v>0</v>
      </c>
      <c r="H5" s="240" t="s">
        <v>28</v>
      </c>
      <c r="I5" s="241"/>
      <c r="J5" s="241"/>
      <c r="K5" s="242"/>
      <c r="L5" s="240" t="s">
        <v>27</v>
      </c>
      <c r="M5" s="241"/>
      <c r="N5" s="241"/>
      <c r="O5" s="242"/>
    </row>
    <row r="6" spans="1:16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18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</row>
    <row r="7" spans="1:16" s="22" customFormat="1" ht="18" x14ac:dyDescent="0.3">
      <c r="A7" s="247" t="s">
        <v>20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50"/>
    </row>
    <row r="8" spans="1:16" s="21" customFormat="1" ht="27.6" x14ac:dyDescent="0.3">
      <c r="A8" s="123">
        <v>206</v>
      </c>
      <c r="B8" s="8" t="s">
        <v>105</v>
      </c>
      <c r="C8" s="123">
        <v>300</v>
      </c>
      <c r="D8" s="14">
        <f>0.7 +4.9</f>
        <v>5.6000000000000005</v>
      </c>
      <c r="E8" s="14">
        <f xml:space="preserve"> 0.175+10.66</f>
        <v>10.835000000000001</v>
      </c>
      <c r="F8" s="14">
        <v>19.23</v>
      </c>
      <c r="G8" s="14">
        <v>167.43</v>
      </c>
      <c r="H8" s="14">
        <v>0.15</v>
      </c>
      <c r="I8" s="14">
        <v>5.83</v>
      </c>
      <c r="J8" s="14"/>
      <c r="K8" s="14">
        <v>2.4500000000000002</v>
      </c>
      <c r="L8" s="14">
        <f>(10/1000*175)+41.48</f>
        <v>43.23</v>
      </c>
      <c r="M8" s="14">
        <v>137.78</v>
      </c>
      <c r="N8" s="14">
        <v>38.25</v>
      </c>
      <c r="O8" s="14">
        <v>1.83</v>
      </c>
    </row>
    <row r="9" spans="1:16" s="12" customFormat="1" x14ac:dyDescent="0.3">
      <c r="A9" s="126">
        <v>660</v>
      </c>
      <c r="B9" s="125" t="s">
        <v>106</v>
      </c>
      <c r="C9" s="13">
        <v>100</v>
      </c>
      <c r="D9" s="14">
        <v>15.3</v>
      </c>
      <c r="E9" s="14">
        <v>29.4</v>
      </c>
      <c r="F9" s="14">
        <v>15.46</v>
      </c>
      <c r="G9" s="14">
        <v>388</v>
      </c>
      <c r="H9" s="14">
        <v>0.1</v>
      </c>
      <c r="I9" s="14">
        <v>1.04</v>
      </c>
      <c r="J9" s="14">
        <v>91.4</v>
      </c>
      <c r="K9" s="14">
        <v>2.9</v>
      </c>
      <c r="L9" s="14">
        <v>55.54</v>
      </c>
      <c r="M9" s="14">
        <v>97.54</v>
      </c>
      <c r="N9" s="14">
        <v>20.8</v>
      </c>
      <c r="O9" s="14">
        <v>1.42</v>
      </c>
    </row>
    <row r="10" spans="1:16" s="12" customFormat="1" x14ac:dyDescent="0.3">
      <c r="A10" s="123">
        <v>312</v>
      </c>
      <c r="B10" s="8" t="s">
        <v>13</v>
      </c>
      <c r="C10" s="13">
        <v>200</v>
      </c>
      <c r="D10" s="14">
        <f>20.473/100*15</f>
        <v>3.0709499999999998</v>
      </c>
      <c r="E10" s="14">
        <f>32.01/100/15</f>
        <v>2.1340000000000001E-2</v>
      </c>
      <c r="F10" s="14">
        <f>136.26/100*15</f>
        <v>20.438999999999997</v>
      </c>
      <c r="G10" s="14">
        <v>160.25</v>
      </c>
      <c r="H10" s="14">
        <f>0.93/100*15</f>
        <v>0.13950000000000001</v>
      </c>
      <c r="I10" s="14">
        <f>121.07/100*15</f>
        <v>18.160499999999999</v>
      </c>
      <c r="J10" s="14"/>
      <c r="K10" s="14">
        <f>1.21/100*15</f>
        <v>0.18149999999999999</v>
      </c>
      <c r="L10" s="14">
        <f>246.5/100*15</f>
        <v>36.974999999999994</v>
      </c>
      <c r="M10" s="14">
        <f>577.3/100*15</f>
        <v>86.594999999999999</v>
      </c>
      <c r="N10" s="14">
        <f>185/100*15</f>
        <v>27.75</v>
      </c>
      <c r="O10" s="14">
        <f>6.73/100*15</f>
        <v>1.0095000000000001</v>
      </c>
    </row>
    <row r="11" spans="1:16" s="38" customFormat="1" ht="13.8" x14ac:dyDescent="0.3">
      <c r="A11" s="37">
        <v>1013</v>
      </c>
      <c r="B11" s="8" t="s">
        <v>100</v>
      </c>
      <c r="C11" s="37">
        <v>200</v>
      </c>
      <c r="D11" s="85">
        <f>1</f>
        <v>1</v>
      </c>
      <c r="E11" s="84">
        <v>0</v>
      </c>
      <c r="F11" s="85">
        <f>101/5</f>
        <v>20.2</v>
      </c>
      <c r="G11" s="84">
        <f>424/5</f>
        <v>84.8</v>
      </c>
      <c r="H11" s="85">
        <f>0.11/5</f>
        <v>2.1999999999999999E-2</v>
      </c>
      <c r="I11" s="84">
        <f>30/5</f>
        <v>6</v>
      </c>
      <c r="J11" s="85">
        <v>0</v>
      </c>
      <c r="K11" s="84">
        <f>1/5</f>
        <v>0.2</v>
      </c>
      <c r="L11" s="85">
        <f>70/5</f>
        <v>14</v>
      </c>
      <c r="M11" s="84">
        <f>70/5</f>
        <v>14</v>
      </c>
      <c r="N11" s="85">
        <f>40/5</f>
        <v>8</v>
      </c>
      <c r="O11" s="86">
        <f>14/5</f>
        <v>2.8</v>
      </c>
    </row>
    <row r="12" spans="1:16" s="12" customFormat="1" x14ac:dyDescent="0.3">
      <c r="A12" s="42"/>
      <c r="B12" s="8" t="s">
        <v>14</v>
      </c>
      <c r="C12" s="13">
        <v>50</v>
      </c>
      <c r="D12" s="14">
        <v>2.2400000000000002</v>
      </c>
      <c r="E12" s="14">
        <v>0.88</v>
      </c>
      <c r="F12" s="14">
        <v>19.760000000000002</v>
      </c>
      <c r="G12" s="14">
        <v>91.96</v>
      </c>
      <c r="H12" s="14">
        <v>0.04</v>
      </c>
      <c r="I12" s="14"/>
      <c r="J12" s="14"/>
      <c r="K12" s="14">
        <v>0.36</v>
      </c>
      <c r="L12" s="14">
        <v>9.1999999999999993</v>
      </c>
      <c r="M12" s="14">
        <v>42.4</v>
      </c>
      <c r="N12" s="14">
        <v>10</v>
      </c>
      <c r="O12" s="14">
        <v>1.24</v>
      </c>
    </row>
    <row r="13" spans="1:16" s="12" customFormat="1" x14ac:dyDescent="0.3">
      <c r="A13" s="42"/>
      <c r="B13" s="8" t="s">
        <v>61</v>
      </c>
      <c r="C13" s="87">
        <v>50</v>
      </c>
      <c r="D13" s="14">
        <v>3.16</v>
      </c>
      <c r="E13" s="14">
        <v>0.4</v>
      </c>
      <c r="F13" s="14">
        <v>19.32</v>
      </c>
      <c r="G13" s="14">
        <v>93.52</v>
      </c>
      <c r="H13" s="14">
        <v>0.04</v>
      </c>
      <c r="I13" s="14"/>
      <c r="J13" s="14"/>
      <c r="K13" s="14">
        <v>0.52</v>
      </c>
      <c r="L13" s="14">
        <v>9.1999999999999993</v>
      </c>
      <c r="M13" s="14">
        <v>34.799999999999997</v>
      </c>
      <c r="N13" s="14">
        <v>13.2</v>
      </c>
      <c r="O13" s="14">
        <v>0.44</v>
      </c>
    </row>
    <row r="14" spans="1:16" s="22" customFormat="1" ht="16.2" customHeight="1" x14ac:dyDescent="0.3">
      <c r="A14" s="88" t="s">
        <v>11</v>
      </c>
      <c r="B14" s="89"/>
      <c r="C14" s="89"/>
      <c r="D14" s="97">
        <f>SUM(D8:D13)</f>
        <v>30.370950000000004</v>
      </c>
      <c r="E14" s="97">
        <f>SUM(E8:E13)</f>
        <v>41.536340000000003</v>
      </c>
      <c r="F14" s="97">
        <f>SUM(F8:F13)</f>
        <v>114.40899999999999</v>
      </c>
      <c r="G14" s="97">
        <v>952.5</v>
      </c>
      <c r="H14" s="97"/>
      <c r="I14" s="97"/>
      <c r="J14" s="97"/>
      <c r="K14" s="97"/>
      <c r="L14" s="97"/>
      <c r="M14" s="97"/>
      <c r="N14" s="97"/>
      <c r="O14" s="97"/>
    </row>
    <row r="15" spans="1:16" s="22" customFormat="1" ht="16.2" customHeight="1" x14ac:dyDescent="0.3">
      <c r="A15" s="88" t="s">
        <v>15</v>
      </c>
      <c r="B15" s="89"/>
      <c r="C15" s="89"/>
      <c r="D15" s="91">
        <v>38.53</v>
      </c>
      <c r="E15" s="91">
        <v>37.96</v>
      </c>
      <c r="F15" s="91">
        <v>99.45</v>
      </c>
      <c r="G15" s="91">
        <v>952.5</v>
      </c>
      <c r="H15" s="99"/>
      <c r="I15" s="99"/>
      <c r="J15" s="99"/>
      <c r="K15" s="99"/>
      <c r="L15" s="99"/>
      <c r="M15" s="106"/>
      <c r="N15" s="106"/>
      <c r="O15" s="98"/>
    </row>
    <row r="16" spans="1:16" ht="15" thickBot="1" x14ac:dyDescent="0.35">
      <c r="G16" s="43"/>
    </row>
    <row r="17" spans="2:11" ht="27" thickBot="1" x14ac:dyDescent="0.35">
      <c r="B17" s="167" t="s">
        <v>45</v>
      </c>
      <c r="C17" s="168"/>
      <c r="D17" s="168"/>
      <c r="E17" s="168"/>
      <c r="F17" s="171" t="s">
        <v>46</v>
      </c>
      <c r="G17" s="172"/>
      <c r="H17" s="173"/>
      <c r="I17" s="30" t="s">
        <v>47</v>
      </c>
    </row>
    <row r="18" spans="2:11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1" ht="15" thickBot="1" x14ac:dyDescent="0.35">
      <c r="B19" s="174" t="s">
        <v>49</v>
      </c>
      <c r="C19" s="175"/>
      <c r="D19" s="175"/>
      <c r="E19" s="175"/>
      <c r="F19" s="31" t="s">
        <v>50</v>
      </c>
      <c r="G19" s="31" t="s">
        <v>51</v>
      </c>
      <c r="H19" s="31" t="s">
        <v>52</v>
      </c>
      <c r="I19" s="31" t="s">
        <v>116</v>
      </c>
    </row>
    <row r="20" spans="2:11" ht="15" thickBot="1" x14ac:dyDescent="0.35">
      <c r="B20" s="174" t="s">
        <v>48</v>
      </c>
      <c r="C20" s="175"/>
      <c r="D20" s="175"/>
      <c r="E20" s="175"/>
      <c r="F20" s="33">
        <f>D15</f>
        <v>38.53</v>
      </c>
      <c r="G20" s="33">
        <f>E15</f>
        <v>37.96</v>
      </c>
      <c r="H20" s="33">
        <f>F15</f>
        <v>99.45</v>
      </c>
      <c r="I20" s="33">
        <f>G15</f>
        <v>952.5</v>
      </c>
    </row>
    <row r="22" spans="2:11" ht="41.25" customHeight="1" x14ac:dyDescent="0.3">
      <c r="B22" s="164" t="s">
        <v>94</v>
      </c>
      <c r="C22" s="164"/>
      <c r="D22" s="164"/>
      <c r="E22" s="164"/>
      <c r="F22" s="164"/>
      <c r="G22" s="164"/>
      <c r="H22" s="164"/>
    </row>
    <row r="23" spans="2:11" ht="33.75" customHeight="1" x14ac:dyDescent="0.3">
      <c r="B23" s="66" t="s">
        <v>56</v>
      </c>
      <c r="C23" s="159" t="s">
        <v>57</v>
      </c>
      <c r="D23" s="159"/>
      <c r="E23" s="159"/>
      <c r="F23" s="159"/>
      <c r="G23" s="165" t="s">
        <v>95</v>
      </c>
      <c r="H23" s="166"/>
      <c r="J23" s="11" t="s">
        <v>32</v>
      </c>
      <c r="K23" s="10" t="s">
        <v>43</v>
      </c>
    </row>
    <row r="24" spans="2:11" ht="15.6" x14ac:dyDescent="0.3">
      <c r="B24" s="162"/>
      <c r="C24" s="160" t="s">
        <v>58</v>
      </c>
      <c r="D24" s="161"/>
      <c r="E24" s="160" t="s">
        <v>59</v>
      </c>
      <c r="F24" s="161"/>
      <c r="G24" s="66" t="s">
        <v>58</v>
      </c>
      <c r="H24" s="66" t="s">
        <v>59</v>
      </c>
      <c r="J24" s="11" t="s">
        <v>34</v>
      </c>
      <c r="K24" s="10" t="s">
        <v>55</v>
      </c>
    </row>
    <row r="25" spans="2:11" ht="28.8" x14ac:dyDescent="0.3">
      <c r="B25" s="163"/>
      <c r="C25" s="160" t="s">
        <v>39</v>
      </c>
      <c r="D25" s="161"/>
      <c r="E25" s="160" t="s">
        <v>39</v>
      </c>
      <c r="F25" s="161"/>
      <c r="G25" s="66" t="s">
        <v>39</v>
      </c>
      <c r="H25" s="66" t="s">
        <v>39</v>
      </c>
      <c r="J25" s="11" t="s">
        <v>36</v>
      </c>
      <c r="K25" s="10" t="s">
        <v>37</v>
      </c>
    </row>
    <row r="26" spans="2:11" ht="51.75" customHeight="1" x14ac:dyDescent="0.3">
      <c r="B26" s="67" t="s">
        <v>60</v>
      </c>
      <c r="C26" s="181">
        <v>80</v>
      </c>
      <c r="D26" s="182"/>
      <c r="E26" s="181">
        <v>80</v>
      </c>
      <c r="F26" s="182"/>
      <c r="G26" s="68">
        <v>40</v>
      </c>
      <c r="H26" s="68">
        <v>40</v>
      </c>
      <c r="J26" s="11" t="s">
        <v>38</v>
      </c>
      <c r="K26" s="10" t="s">
        <v>39</v>
      </c>
    </row>
    <row r="27" spans="2:11" x14ac:dyDescent="0.3">
      <c r="B27" s="67" t="s">
        <v>61</v>
      </c>
      <c r="C27" s="181">
        <v>150</v>
      </c>
      <c r="D27" s="182"/>
      <c r="E27" s="181">
        <v>150</v>
      </c>
      <c r="F27" s="182"/>
      <c r="G27" s="68">
        <v>90</v>
      </c>
      <c r="H27" s="68">
        <v>90</v>
      </c>
    </row>
    <row r="28" spans="2:11" ht="36.75" customHeight="1" x14ac:dyDescent="0.3">
      <c r="B28" s="67" t="s">
        <v>62</v>
      </c>
      <c r="C28" s="181">
        <v>15</v>
      </c>
      <c r="D28" s="182"/>
      <c r="E28" s="181">
        <v>15</v>
      </c>
      <c r="F28" s="182"/>
      <c r="G28" s="68">
        <v>35.700000000000003</v>
      </c>
      <c r="H28" s="68">
        <v>35.700000000000003</v>
      </c>
    </row>
    <row r="29" spans="2:11" ht="21.75" customHeight="1" x14ac:dyDescent="0.3">
      <c r="B29" s="69" t="s">
        <v>63</v>
      </c>
      <c r="C29" s="183">
        <v>45</v>
      </c>
      <c r="D29" s="184"/>
      <c r="E29" s="183">
        <v>45</v>
      </c>
      <c r="F29" s="184"/>
      <c r="G29" s="70">
        <v>31</v>
      </c>
      <c r="H29" s="70">
        <v>31</v>
      </c>
    </row>
    <row r="30" spans="2:11" x14ac:dyDescent="0.3">
      <c r="B30" s="67" t="s">
        <v>64</v>
      </c>
      <c r="C30" s="181">
        <v>15</v>
      </c>
      <c r="D30" s="182"/>
      <c r="E30" s="181">
        <v>15</v>
      </c>
      <c r="F30" s="182"/>
      <c r="G30" s="68">
        <v>10</v>
      </c>
      <c r="H30" s="68">
        <v>10</v>
      </c>
    </row>
    <row r="31" spans="2:11" x14ac:dyDescent="0.3">
      <c r="B31" s="67" t="s">
        <v>65</v>
      </c>
      <c r="C31" s="181" t="s">
        <v>66</v>
      </c>
      <c r="D31" s="182"/>
      <c r="E31" s="185">
        <v>188</v>
      </c>
      <c r="F31" s="186"/>
      <c r="G31" s="68">
        <f>28.9+53.4+171</f>
        <v>253.3</v>
      </c>
      <c r="H31" s="68">
        <f>21+40+129</f>
        <v>190</v>
      </c>
    </row>
    <row r="32" spans="2:11" x14ac:dyDescent="0.3">
      <c r="B32" s="67" t="s">
        <v>67</v>
      </c>
      <c r="C32" s="181">
        <v>350</v>
      </c>
      <c r="D32" s="182"/>
      <c r="E32" s="181" t="s">
        <v>68</v>
      </c>
      <c r="F32" s="182"/>
      <c r="G32" s="68">
        <f>19.1+12.6+18.8+21.4+18.8+10+9.6+2+5+3</f>
        <v>120.3</v>
      </c>
      <c r="H32" s="83">
        <f>15+10+7.5+15+15+8+8+4+4+2</f>
        <v>88.5</v>
      </c>
    </row>
    <row r="33" spans="2:8" x14ac:dyDescent="0.3">
      <c r="B33" s="67" t="s">
        <v>69</v>
      </c>
      <c r="C33" s="181">
        <v>200</v>
      </c>
      <c r="D33" s="182"/>
      <c r="E33" s="181" t="s">
        <v>70</v>
      </c>
      <c r="F33" s="182"/>
      <c r="G33" s="68">
        <v>100</v>
      </c>
      <c r="H33" s="68">
        <v>100</v>
      </c>
    </row>
    <row r="34" spans="2:8" x14ac:dyDescent="0.3">
      <c r="B34" s="67" t="s">
        <v>71</v>
      </c>
      <c r="C34" s="181">
        <v>15</v>
      </c>
      <c r="D34" s="182"/>
      <c r="E34" s="181">
        <v>15</v>
      </c>
      <c r="F34" s="182"/>
      <c r="G34" s="68">
        <v>20.100000000000001</v>
      </c>
      <c r="H34" s="68">
        <v>20.100000000000001</v>
      </c>
    </row>
    <row r="35" spans="2:8" ht="26.4" x14ac:dyDescent="0.3">
      <c r="B35" s="67" t="s">
        <v>72</v>
      </c>
      <c r="C35" s="181">
        <v>200</v>
      </c>
      <c r="D35" s="182"/>
      <c r="E35" s="181">
        <v>200</v>
      </c>
      <c r="F35" s="182"/>
      <c r="G35" s="68"/>
      <c r="H35" s="68"/>
    </row>
    <row r="36" spans="2:8" x14ac:dyDescent="0.3">
      <c r="B36" s="67" t="s">
        <v>73</v>
      </c>
      <c r="C36" s="181" t="s">
        <v>74</v>
      </c>
      <c r="D36" s="182"/>
      <c r="E36" s="181">
        <v>70</v>
      </c>
      <c r="F36" s="182"/>
      <c r="G36" s="68"/>
      <c r="H36" s="68"/>
    </row>
    <row r="37" spans="2:8" ht="26.4" x14ac:dyDescent="0.3">
      <c r="B37" s="67" t="s">
        <v>75</v>
      </c>
      <c r="C37" s="181" t="s">
        <v>76</v>
      </c>
      <c r="D37" s="182"/>
      <c r="E37" s="181">
        <v>35</v>
      </c>
      <c r="F37" s="182"/>
      <c r="G37" s="68">
        <f>142+40</f>
        <v>182</v>
      </c>
      <c r="H37" s="68">
        <f>128+25</f>
        <v>153</v>
      </c>
    </row>
    <row r="38" spans="2:8" x14ac:dyDescent="0.3">
      <c r="B38" s="67" t="s">
        <v>77</v>
      </c>
      <c r="C38" s="181">
        <v>60</v>
      </c>
      <c r="D38" s="182"/>
      <c r="E38" s="181">
        <v>58</v>
      </c>
      <c r="F38" s="182"/>
      <c r="G38" s="68"/>
      <c r="H38" s="68"/>
    </row>
    <row r="39" spans="2:8" x14ac:dyDescent="0.3">
      <c r="B39" s="67" t="s">
        <v>78</v>
      </c>
      <c r="C39" s="181">
        <v>15</v>
      </c>
      <c r="D39" s="182"/>
      <c r="E39" s="181">
        <v>14.7</v>
      </c>
      <c r="F39" s="182"/>
      <c r="G39" s="68"/>
      <c r="H39" s="68"/>
    </row>
    <row r="40" spans="2:8" x14ac:dyDescent="0.3">
      <c r="B40" s="67" t="s">
        <v>79</v>
      </c>
      <c r="C40" s="181">
        <v>300</v>
      </c>
      <c r="D40" s="182"/>
      <c r="E40" s="181">
        <v>300</v>
      </c>
      <c r="F40" s="182"/>
      <c r="G40" s="68">
        <f>211+24+100+100</f>
        <v>435</v>
      </c>
      <c r="H40" s="68">
        <f>22.5+200+200+24</f>
        <v>446.5</v>
      </c>
    </row>
    <row r="41" spans="2:8" ht="26.4" x14ac:dyDescent="0.3">
      <c r="B41" s="67" t="s">
        <v>80</v>
      </c>
      <c r="C41" s="181">
        <v>150</v>
      </c>
      <c r="D41" s="182"/>
      <c r="E41" s="181">
        <v>150</v>
      </c>
      <c r="F41" s="182"/>
      <c r="G41" s="68"/>
      <c r="H41" s="68"/>
    </row>
    <row r="42" spans="2:8" x14ac:dyDescent="0.3">
      <c r="B42" s="67" t="s">
        <v>81</v>
      </c>
      <c r="C42" s="181">
        <v>50</v>
      </c>
      <c r="D42" s="182"/>
      <c r="E42" s="181">
        <v>50</v>
      </c>
      <c r="F42" s="182"/>
      <c r="G42" s="68"/>
      <c r="H42" s="68"/>
    </row>
    <row r="43" spans="2:8" x14ac:dyDescent="0.3">
      <c r="B43" s="67" t="s">
        <v>82</v>
      </c>
      <c r="C43" s="181">
        <v>10</v>
      </c>
      <c r="D43" s="182"/>
      <c r="E43" s="181">
        <v>9.8000000000000007</v>
      </c>
      <c r="F43" s="182"/>
      <c r="G43" s="68"/>
      <c r="H43" s="83"/>
    </row>
    <row r="44" spans="2:8" x14ac:dyDescent="0.3">
      <c r="B44" s="67" t="s">
        <v>83</v>
      </c>
      <c r="C44" s="181">
        <v>10</v>
      </c>
      <c r="D44" s="182"/>
      <c r="E44" s="181">
        <v>10</v>
      </c>
      <c r="F44" s="182"/>
      <c r="G44" s="73"/>
      <c r="H44" s="73"/>
    </row>
    <row r="45" spans="2:8" x14ac:dyDescent="0.3">
      <c r="B45" s="67" t="s">
        <v>84</v>
      </c>
      <c r="C45" s="181">
        <v>30</v>
      </c>
      <c r="D45" s="182"/>
      <c r="E45" s="181">
        <v>30</v>
      </c>
      <c r="F45" s="182"/>
      <c r="G45" s="68">
        <f>0.5+5.25+10+10</f>
        <v>25.75</v>
      </c>
      <c r="H45" s="68">
        <v>25.75</v>
      </c>
    </row>
    <row r="46" spans="2:8" x14ac:dyDescent="0.3">
      <c r="B46" s="67" t="s">
        <v>85</v>
      </c>
      <c r="C46" s="181">
        <v>15</v>
      </c>
      <c r="D46" s="182"/>
      <c r="E46" s="181">
        <v>15</v>
      </c>
      <c r="F46" s="182"/>
      <c r="G46" s="68">
        <v>10</v>
      </c>
      <c r="H46" s="68">
        <v>10</v>
      </c>
    </row>
    <row r="47" spans="2:8" x14ac:dyDescent="0.3">
      <c r="B47" s="67" t="s">
        <v>86</v>
      </c>
      <c r="C47" s="181" t="s">
        <v>87</v>
      </c>
      <c r="D47" s="182"/>
      <c r="E47" s="181">
        <v>40</v>
      </c>
      <c r="F47" s="182"/>
      <c r="G47" s="68">
        <v>2.1</v>
      </c>
      <c r="H47" s="68">
        <v>2.1</v>
      </c>
    </row>
    <row r="48" spans="2:8" x14ac:dyDescent="0.3">
      <c r="B48" s="67" t="s">
        <v>88</v>
      </c>
      <c r="C48" s="181">
        <v>40</v>
      </c>
      <c r="D48" s="182"/>
      <c r="E48" s="185">
        <v>40</v>
      </c>
      <c r="F48" s="186"/>
      <c r="G48" s="68">
        <f>46.36</f>
        <v>46.36</v>
      </c>
      <c r="H48" s="68">
        <v>46.36</v>
      </c>
    </row>
    <row r="49" spans="2:8" x14ac:dyDescent="0.3">
      <c r="B49" s="67" t="s">
        <v>89</v>
      </c>
      <c r="C49" s="185">
        <v>10</v>
      </c>
      <c r="D49" s="186"/>
      <c r="E49" s="181">
        <v>10</v>
      </c>
      <c r="F49" s="182"/>
      <c r="G49" s="68"/>
      <c r="H49" s="68"/>
    </row>
    <row r="50" spans="2:8" x14ac:dyDescent="0.3">
      <c r="B50" s="67" t="s">
        <v>90</v>
      </c>
      <c r="C50" s="181">
        <v>0.4</v>
      </c>
      <c r="D50" s="182"/>
      <c r="E50" s="181">
        <v>0.4</v>
      </c>
      <c r="F50" s="182"/>
      <c r="G50" s="68"/>
      <c r="H50" s="68"/>
    </row>
    <row r="51" spans="2:8" x14ac:dyDescent="0.3">
      <c r="B51" s="67" t="s">
        <v>91</v>
      </c>
      <c r="C51" s="181">
        <v>1.2</v>
      </c>
      <c r="D51" s="182"/>
      <c r="E51" s="181">
        <v>1.2</v>
      </c>
      <c r="F51" s="182"/>
      <c r="G51" s="68">
        <v>4</v>
      </c>
      <c r="H51" s="68">
        <v>4</v>
      </c>
    </row>
    <row r="52" spans="2:8" x14ac:dyDescent="0.3">
      <c r="B52" s="67" t="s">
        <v>92</v>
      </c>
      <c r="C52" s="181">
        <v>1</v>
      </c>
      <c r="D52" s="182"/>
      <c r="E52" s="181">
        <v>1</v>
      </c>
      <c r="F52" s="182"/>
      <c r="G52" s="68">
        <v>0.1</v>
      </c>
      <c r="H52" s="68">
        <v>0.1</v>
      </c>
    </row>
    <row r="53" spans="2:8" x14ac:dyDescent="0.3">
      <c r="B53" s="67" t="s">
        <v>93</v>
      </c>
      <c r="C53" s="181">
        <v>5</v>
      </c>
      <c r="D53" s="182"/>
      <c r="E53" s="181">
        <v>5</v>
      </c>
      <c r="F53" s="182"/>
      <c r="G53" s="68">
        <v>3</v>
      </c>
      <c r="H53" s="68">
        <v>3</v>
      </c>
    </row>
    <row r="54" spans="2:8" x14ac:dyDescent="0.3">
      <c r="B54" s="41"/>
      <c r="C54" s="249"/>
      <c r="D54" s="249"/>
      <c r="E54" s="249"/>
      <c r="F54" s="249"/>
      <c r="G54" s="75"/>
      <c r="H54" s="75"/>
    </row>
    <row r="55" spans="2:8" x14ac:dyDescent="0.3">
      <c r="B55" s="41"/>
      <c r="C55" s="249"/>
      <c r="D55" s="249"/>
      <c r="E55" s="249"/>
      <c r="F55" s="249"/>
      <c r="G55" s="75"/>
      <c r="H55" s="75"/>
    </row>
    <row r="56" spans="2:8" x14ac:dyDescent="0.3">
      <c r="B56" s="41"/>
      <c r="C56" s="249"/>
      <c r="D56" s="249"/>
      <c r="E56" s="249"/>
      <c r="F56" s="249"/>
      <c r="G56" s="75"/>
      <c r="H56" s="75"/>
    </row>
    <row r="57" spans="2:8" x14ac:dyDescent="0.3">
      <c r="B57" s="41"/>
      <c r="C57" s="249"/>
      <c r="D57" s="249"/>
      <c r="E57" s="249"/>
      <c r="F57" s="249"/>
      <c r="G57" s="75"/>
      <c r="H57" s="75"/>
    </row>
    <row r="58" spans="2:8" x14ac:dyDescent="0.3">
      <c r="B58" s="41"/>
      <c r="C58" s="249"/>
      <c r="D58" s="249"/>
      <c r="E58" s="249"/>
      <c r="F58" s="249"/>
      <c r="G58" s="75"/>
      <c r="H58" s="75"/>
    </row>
    <row r="59" spans="2:8" x14ac:dyDescent="0.3">
      <c r="B59" s="41"/>
      <c r="C59" s="249"/>
      <c r="D59" s="249"/>
      <c r="E59" s="249"/>
      <c r="F59" s="249"/>
      <c r="G59" s="75"/>
      <c r="H59" s="75"/>
    </row>
    <row r="60" spans="2:8" x14ac:dyDescent="0.3">
      <c r="B60" s="15"/>
      <c r="C60" s="15"/>
      <c r="D60" s="15"/>
      <c r="E60" s="15"/>
      <c r="F60" s="15"/>
      <c r="G60" s="15"/>
      <c r="H60" s="15"/>
    </row>
  </sheetData>
  <sheetProtection formatCells="0" formatColumns="0" formatRows="0" insertColumns="0" insertRows="0" insertHyperlinks="0" deleteColumns="0" deleteRows="0" sort="0" autoFilter="0" pivotTables="0"/>
  <mergeCells count="88">
    <mergeCell ref="C26:D26"/>
    <mergeCell ref="E26:F26"/>
    <mergeCell ref="C27:D27"/>
    <mergeCell ref="E27:F27"/>
    <mergeCell ref="C28:D28"/>
    <mergeCell ref="E28:F28"/>
    <mergeCell ref="G23:H23"/>
    <mergeCell ref="B24:B25"/>
    <mergeCell ref="C24:D24"/>
    <mergeCell ref="E24:F24"/>
    <mergeCell ref="C25:D25"/>
    <mergeCell ref="E25:F25"/>
    <mergeCell ref="A7:O7"/>
    <mergeCell ref="E35:F35"/>
    <mergeCell ref="E34:F34"/>
    <mergeCell ref="E33:F33"/>
    <mergeCell ref="E32:F32"/>
    <mergeCell ref="E31:F31"/>
    <mergeCell ref="C32:D32"/>
    <mergeCell ref="C33:D33"/>
    <mergeCell ref="C34:D34"/>
    <mergeCell ref="C35:D35"/>
    <mergeCell ref="B17:E18"/>
    <mergeCell ref="F17:H17"/>
    <mergeCell ref="B19:E19"/>
    <mergeCell ref="B20:E20"/>
    <mergeCell ref="B22:H22"/>
    <mergeCell ref="C23:F23"/>
    <mergeCell ref="E40:F40"/>
    <mergeCell ref="E39:F39"/>
    <mergeCell ref="E38:F38"/>
    <mergeCell ref="E37:F37"/>
    <mergeCell ref="E36:F36"/>
    <mergeCell ref="E45:F45"/>
    <mergeCell ref="E44:F44"/>
    <mergeCell ref="E43:F43"/>
    <mergeCell ref="E42:F42"/>
    <mergeCell ref="E41:F41"/>
    <mergeCell ref="E50:F50"/>
    <mergeCell ref="E49:F49"/>
    <mergeCell ref="E48:F48"/>
    <mergeCell ref="E47:F47"/>
    <mergeCell ref="E46:F46"/>
    <mergeCell ref="E56:F56"/>
    <mergeCell ref="E55:F55"/>
    <mergeCell ref="E54:F54"/>
    <mergeCell ref="E53:F53"/>
    <mergeCell ref="E51:F51"/>
    <mergeCell ref="E52:F52"/>
    <mergeCell ref="C57:D57"/>
    <mergeCell ref="C58:D58"/>
    <mergeCell ref="C59:D59"/>
    <mergeCell ref="E59:F59"/>
    <mergeCell ref="E58:F58"/>
    <mergeCell ref="E57:F57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6:D36"/>
    <mergeCell ref="C30:D30"/>
    <mergeCell ref="E30:F30"/>
    <mergeCell ref="C31:D31"/>
    <mergeCell ref="C29:D29"/>
    <mergeCell ref="E29:F29"/>
    <mergeCell ref="H5:K5"/>
    <mergeCell ref="L5:O5"/>
    <mergeCell ref="A5:A6"/>
    <mergeCell ref="B5:B6"/>
    <mergeCell ref="C5:C6"/>
    <mergeCell ref="D5:F5"/>
    <mergeCell ref="G5:G6"/>
  </mergeCells>
  <pageMargins left="0.23622047244094491" right="0.23622047244094491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8"/>
  <sheetViews>
    <sheetView view="pageBreakPreview" topLeftCell="A7" zoomScaleNormal="100" zoomScaleSheetLayoutView="100" workbookViewId="0">
      <selection activeCell="G10" sqref="G10"/>
    </sheetView>
  </sheetViews>
  <sheetFormatPr defaultColWidth="9.109375" defaultRowHeight="14.4" x14ac:dyDescent="0.3"/>
  <cols>
    <col min="1" max="1" width="23.5546875" style="65" customWidth="1"/>
    <col min="2" max="5" width="9.109375" style="65"/>
    <col min="6" max="6" width="10.44140625" style="65" customWidth="1"/>
    <col min="7" max="7" width="11.88671875" style="65" customWidth="1"/>
    <col min="8" max="16384" width="9.109375" style="65"/>
  </cols>
  <sheetData>
    <row r="1" spans="1:35" ht="48" customHeight="1" x14ac:dyDescent="0.3">
      <c r="A1" s="164" t="s">
        <v>94</v>
      </c>
      <c r="B1" s="164"/>
      <c r="C1" s="164"/>
      <c r="D1" s="164"/>
      <c r="E1" s="164"/>
      <c r="F1" s="164"/>
      <c r="G1" s="164"/>
    </row>
    <row r="2" spans="1:35" ht="30.75" customHeight="1" x14ac:dyDescent="0.3">
      <c r="A2" s="66" t="s">
        <v>56</v>
      </c>
      <c r="B2" s="159" t="s">
        <v>57</v>
      </c>
      <c r="C2" s="159"/>
      <c r="D2" s="159"/>
      <c r="E2" s="159"/>
      <c r="F2" s="165" t="s">
        <v>95</v>
      </c>
      <c r="G2" s="166"/>
    </row>
    <row r="3" spans="1:35" ht="26.4" x14ac:dyDescent="0.3">
      <c r="A3" s="162"/>
      <c r="B3" s="160" t="s">
        <v>58</v>
      </c>
      <c r="C3" s="161"/>
      <c r="D3" s="160" t="s">
        <v>59</v>
      </c>
      <c r="E3" s="161"/>
      <c r="F3" s="66" t="s">
        <v>58</v>
      </c>
      <c r="G3" s="66" t="s">
        <v>59</v>
      </c>
    </row>
    <row r="4" spans="1:35" x14ac:dyDescent="0.3">
      <c r="A4" s="163"/>
      <c r="B4" s="250" t="s">
        <v>115</v>
      </c>
      <c r="C4" s="161"/>
      <c r="D4" s="250" t="s">
        <v>115</v>
      </c>
      <c r="E4" s="161"/>
      <c r="F4" s="250" t="s">
        <v>115</v>
      </c>
      <c r="G4" s="161"/>
    </row>
    <row r="5" spans="1:35" ht="26.4" x14ac:dyDescent="0.3">
      <c r="A5" s="67" t="s">
        <v>60</v>
      </c>
      <c r="B5" s="181">
        <v>80</v>
      </c>
      <c r="C5" s="182"/>
      <c r="D5" s="181">
        <v>80</v>
      </c>
      <c r="E5" s="182"/>
      <c r="F5" s="68">
        <v>40</v>
      </c>
      <c r="G5" s="68">
        <v>40</v>
      </c>
    </row>
    <row r="6" spans="1:35" x14ac:dyDescent="0.3">
      <c r="A6" s="67" t="s">
        <v>61</v>
      </c>
      <c r="B6" s="181">
        <v>150</v>
      </c>
      <c r="C6" s="182"/>
      <c r="D6" s="181">
        <v>150</v>
      </c>
      <c r="E6" s="182"/>
      <c r="F6" s="68">
        <f>(70+100+103+78+90+90+70+90+118)/10</f>
        <v>80.900000000000006</v>
      </c>
      <c r="G6" s="68">
        <f>(70+100+103+78+90+90+70+90+118)/10</f>
        <v>80.900000000000006</v>
      </c>
    </row>
    <row r="7" spans="1:35" x14ac:dyDescent="0.3">
      <c r="A7" s="67" t="s">
        <v>62</v>
      </c>
      <c r="B7" s="181">
        <v>15</v>
      </c>
      <c r="C7" s="182"/>
      <c r="D7" s="181">
        <v>15</v>
      </c>
      <c r="E7" s="182"/>
      <c r="F7" s="68">
        <f>(2+89.5+15.6+44.79+9.55+35.71+20.5+18.25+9.6)/10</f>
        <v>24.55</v>
      </c>
      <c r="G7" s="68">
        <v>24.55</v>
      </c>
    </row>
    <row r="8" spans="1:35" s="72" customFormat="1" x14ac:dyDescent="0.3">
      <c r="A8" s="69" t="s">
        <v>63</v>
      </c>
      <c r="B8" s="183">
        <v>45</v>
      </c>
      <c r="C8" s="184"/>
      <c r="D8" s="183">
        <v>45</v>
      </c>
      <c r="E8" s="184"/>
      <c r="F8" s="70">
        <f>(31+33+75+44+54+52+75+49)/10</f>
        <v>41.3</v>
      </c>
      <c r="G8" s="70">
        <v>41.3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 x14ac:dyDescent="0.3">
      <c r="A9" s="67" t="s">
        <v>64</v>
      </c>
      <c r="B9" s="181">
        <v>15</v>
      </c>
      <c r="C9" s="182"/>
      <c r="D9" s="181">
        <v>15</v>
      </c>
      <c r="E9" s="182"/>
      <c r="F9" s="68">
        <f>(52.5+10+10+52.5+10)/10</f>
        <v>13.5</v>
      </c>
      <c r="G9" s="68">
        <v>13.5</v>
      </c>
    </row>
    <row r="10" spans="1:35" x14ac:dyDescent="0.3">
      <c r="A10" s="67" t="s">
        <v>65</v>
      </c>
      <c r="B10" s="181" t="s">
        <v>66</v>
      </c>
      <c r="C10" s="182"/>
      <c r="D10" s="185">
        <v>188</v>
      </c>
      <c r="E10" s="186"/>
      <c r="F10" s="68">
        <f>(253.3+33.25+27+40+82.3+238+40+53.4+226.9+100)/10</f>
        <v>109.41500000000001</v>
      </c>
      <c r="G10" s="68">
        <f>(75+170+40+30+179+82.3+30+20+25+190)/10</f>
        <v>84.13</v>
      </c>
    </row>
    <row r="11" spans="1:35" x14ac:dyDescent="0.3">
      <c r="A11" s="67" t="s">
        <v>67</v>
      </c>
      <c r="B11" s="181">
        <v>350</v>
      </c>
      <c r="C11" s="182"/>
      <c r="D11" s="181" t="s">
        <v>68</v>
      </c>
      <c r="E11" s="182"/>
      <c r="F11" s="68">
        <f>(120.3+303.6+221.35+227.85+124.3+138.85+207.85+272.2+249.95+121.05)/10</f>
        <v>198.73</v>
      </c>
      <c r="G11" s="83">
        <f>(69.75+200+218.5+162+111.4+119+121.5+178.9+243.5+88.5)/10</f>
        <v>151.30500000000001</v>
      </c>
    </row>
    <row r="12" spans="1:35" x14ac:dyDescent="0.3">
      <c r="A12" s="67" t="s">
        <v>69</v>
      </c>
      <c r="B12" s="181">
        <v>200</v>
      </c>
      <c r="C12" s="182"/>
      <c r="D12" s="181" t="s">
        <v>70</v>
      </c>
      <c r="E12" s="182"/>
      <c r="F12" s="68">
        <f>(100+135.7+100+135+145.4+134+135.7+135+129+135.7)/10</f>
        <v>128.55000000000001</v>
      </c>
      <c r="G12" s="68">
        <f>(125+129+128+135.7+130+145.4+128.2+100+125+100)/10</f>
        <v>124.63</v>
      </c>
    </row>
    <row r="13" spans="1:35" ht="26.4" x14ac:dyDescent="0.3">
      <c r="A13" s="67" t="s">
        <v>71</v>
      </c>
      <c r="B13" s="181">
        <v>15</v>
      </c>
      <c r="C13" s="182"/>
      <c r="D13" s="181">
        <v>15</v>
      </c>
      <c r="E13" s="182"/>
      <c r="F13" s="68">
        <f>(20.1+5.1+25.6+25.6)/10</f>
        <v>7.6400000000000006</v>
      </c>
      <c r="G13" s="68">
        <f>(37+10+10+37+5+20.1)/10</f>
        <v>11.91</v>
      </c>
    </row>
    <row r="14" spans="1:35" ht="52.8" x14ac:dyDescent="0.3">
      <c r="A14" s="67" t="s">
        <v>72</v>
      </c>
      <c r="B14" s="181">
        <v>200</v>
      </c>
      <c r="C14" s="182"/>
      <c r="D14" s="181">
        <v>200</v>
      </c>
      <c r="E14" s="182"/>
      <c r="F14" s="68">
        <f>(200+200+200+200+200)/10</f>
        <v>100</v>
      </c>
      <c r="G14" s="68">
        <v>100</v>
      </c>
    </row>
    <row r="15" spans="1:35" ht="26.4" x14ac:dyDescent="0.3">
      <c r="A15" s="67" t="s">
        <v>73</v>
      </c>
      <c r="B15" s="181" t="s">
        <v>74</v>
      </c>
      <c r="C15" s="182"/>
      <c r="D15" s="181">
        <v>70</v>
      </c>
      <c r="E15" s="182"/>
      <c r="F15" s="68">
        <f>(92+40+121+150+121+40+150)/10</f>
        <v>71.400000000000006</v>
      </c>
      <c r="G15" s="68">
        <f>(106+25+96+106+96+25+63)/10</f>
        <v>51.7</v>
      </c>
    </row>
    <row r="16" spans="1:35" ht="39.6" x14ac:dyDescent="0.3">
      <c r="A16" s="67" t="s">
        <v>75</v>
      </c>
      <c r="B16" s="181" t="s">
        <v>76</v>
      </c>
      <c r="C16" s="182"/>
      <c r="D16" s="181">
        <v>35</v>
      </c>
      <c r="E16" s="182"/>
      <c r="F16" s="68">
        <f>(182+40+125)/10</f>
        <v>34.700000000000003</v>
      </c>
      <c r="G16" s="68">
        <f>(60+25+153)/10</f>
        <v>23.8</v>
      </c>
    </row>
    <row r="17" spans="1:7" x14ac:dyDescent="0.3">
      <c r="A17" s="67" t="s">
        <v>77</v>
      </c>
      <c r="B17" s="181">
        <v>60</v>
      </c>
      <c r="C17" s="182"/>
      <c r="D17" s="181">
        <v>58</v>
      </c>
      <c r="E17" s="182"/>
      <c r="F17" s="68">
        <f>(90+246+123)/10</f>
        <v>45.9</v>
      </c>
      <c r="G17" s="68">
        <f>(61+124+66)/10</f>
        <v>25.1</v>
      </c>
    </row>
    <row r="18" spans="1:7" x14ac:dyDescent="0.3">
      <c r="A18" s="67" t="s">
        <v>78</v>
      </c>
      <c r="B18" s="181">
        <v>15</v>
      </c>
      <c r="C18" s="182"/>
      <c r="D18" s="181">
        <v>14.7</v>
      </c>
      <c r="E18" s="182"/>
      <c r="F18" s="68">
        <v>0</v>
      </c>
      <c r="G18" s="68">
        <v>0</v>
      </c>
    </row>
    <row r="19" spans="1:7" ht="26.4" x14ac:dyDescent="0.3">
      <c r="A19" s="67" t="s">
        <v>79</v>
      </c>
      <c r="B19" s="181">
        <v>300</v>
      </c>
      <c r="C19" s="182"/>
      <c r="D19" s="181">
        <v>300</v>
      </c>
      <c r="E19" s="182"/>
      <c r="F19" s="68">
        <f>(435+176+411+100+411+150+125.92+162+102+411)/10</f>
        <v>248.392</v>
      </c>
      <c r="G19" s="68">
        <f>(400+100.5+162+125.92+150+400+100+400+176+446.5)/10</f>
        <v>246.09200000000001</v>
      </c>
    </row>
    <row r="20" spans="1:7" ht="39.6" x14ac:dyDescent="0.3">
      <c r="A20" s="67" t="s">
        <v>80</v>
      </c>
      <c r="B20" s="181">
        <v>150</v>
      </c>
      <c r="C20" s="182"/>
      <c r="D20" s="181">
        <v>150</v>
      </c>
      <c r="E20" s="182"/>
      <c r="F20" s="68">
        <f>(206+237+206+207+206+207)/10</f>
        <v>126.9</v>
      </c>
      <c r="G20" s="68">
        <f>(200+200+200+200+230+200)/10</f>
        <v>123</v>
      </c>
    </row>
    <row r="21" spans="1:7" ht="26.4" x14ac:dyDescent="0.3">
      <c r="A21" s="67" t="s">
        <v>81</v>
      </c>
      <c r="B21" s="181">
        <v>50</v>
      </c>
      <c r="C21" s="182"/>
      <c r="D21" s="181">
        <v>50</v>
      </c>
      <c r="E21" s="182"/>
      <c r="F21" s="68">
        <f>(83.7+113.7)/10</f>
        <v>19.740000000000002</v>
      </c>
      <c r="G21" s="68">
        <f>(112+82)/10</f>
        <v>19.399999999999999</v>
      </c>
    </row>
    <row r="22" spans="1:7" x14ac:dyDescent="0.3">
      <c r="A22" s="67" t="s">
        <v>82</v>
      </c>
      <c r="B22" s="181">
        <v>10</v>
      </c>
      <c r="C22" s="182"/>
      <c r="D22" s="181">
        <v>9.8000000000000007</v>
      </c>
      <c r="E22" s="182"/>
      <c r="F22" s="68">
        <f>(16+16+16)/10</f>
        <v>4.8</v>
      </c>
      <c r="G22" s="83">
        <f>(15+15+15)/10</f>
        <v>4.5</v>
      </c>
    </row>
    <row r="23" spans="1:7" ht="26.4" x14ac:dyDescent="0.3">
      <c r="A23" s="67" t="s">
        <v>83</v>
      </c>
      <c r="B23" s="181">
        <v>10</v>
      </c>
      <c r="C23" s="182"/>
      <c r="D23" s="181">
        <v>10</v>
      </c>
      <c r="E23" s="182"/>
      <c r="F23" s="73">
        <f>(12.5+12.5+12.5+22)/10</f>
        <v>5.95</v>
      </c>
      <c r="G23" s="73">
        <v>5.95</v>
      </c>
    </row>
    <row r="24" spans="1:7" x14ac:dyDescent="0.3">
      <c r="A24" s="67" t="s">
        <v>84</v>
      </c>
      <c r="B24" s="181">
        <v>30</v>
      </c>
      <c r="C24" s="182"/>
      <c r="D24" s="181">
        <v>30</v>
      </c>
      <c r="E24" s="182"/>
      <c r="F24" s="68">
        <f>(25.75+20+28.9+30+20.3+40.75+39.12+31.6+15.25+19.5)/10</f>
        <v>27.116999999999997</v>
      </c>
      <c r="G24" s="68">
        <v>27.12</v>
      </c>
    </row>
    <row r="25" spans="1:7" x14ac:dyDescent="0.3">
      <c r="A25" s="67" t="s">
        <v>85</v>
      </c>
      <c r="B25" s="181">
        <v>15</v>
      </c>
      <c r="C25" s="182"/>
      <c r="D25" s="181">
        <v>15</v>
      </c>
      <c r="E25" s="182"/>
      <c r="F25" s="68">
        <f>(10+24+14.15+5+12.32+15.7+15+17+27+10)/10</f>
        <v>15.017000000000001</v>
      </c>
      <c r="G25" s="68">
        <v>15.02</v>
      </c>
    </row>
    <row r="26" spans="1:7" x14ac:dyDescent="0.3">
      <c r="A26" s="67" t="s">
        <v>86</v>
      </c>
      <c r="B26" s="181" t="s">
        <v>87</v>
      </c>
      <c r="C26" s="182"/>
      <c r="D26" s="181">
        <v>40</v>
      </c>
      <c r="E26" s="182"/>
      <c r="F26" s="68">
        <f>(2.1+3+40+1.6+80.1+40+81.4+9.9+2.1)/10</f>
        <v>26.020000000000003</v>
      </c>
      <c r="G26" s="68">
        <f>26.02</f>
        <v>26.02</v>
      </c>
    </row>
    <row r="27" spans="1:7" x14ac:dyDescent="0.3">
      <c r="A27" s="67" t="s">
        <v>88</v>
      </c>
      <c r="B27" s="181">
        <v>40</v>
      </c>
      <c r="C27" s="182"/>
      <c r="D27" s="185">
        <v>40</v>
      </c>
      <c r="E27" s="186"/>
      <c r="F27" s="68">
        <f>(26+10.75+32.15+32.7+36.6+24.35+54.3+39.5+30+46.36+6)/10</f>
        <v>33.871000000000002</v>
      </c>
      <c r="G27" s="68">
        <v>33.869999999999997</v>
      </c>
    </row>
    <row r="28" spans="1:7" x14ac:dyDescent="0.3">
      <c r="A28" s="67" t="s">
        <v>89</v>
      </c>
      <c r="B28" s="185">
        <v>10</v>
      </c>
      <c r="C28" s="186"/>
      <c r="D28" s="181">
        <v>10</v>
      </c>
      <c r="E28" s="182"/>
      <c r="F28" s="68">
        <f>(20+20+20+15)/10</f>
        <v>7.5</v>
      </c>
      <c r="G28" s="68">
        <v>7.5</v>
      </c>
    </row>
    <row r="29" spans="1:7" x14ac:dyDescent="0.3">
      <c r="A29" s="67" t="s">
        <v>90</v>
      </c>
      <c r="B29" s="181">
        <v>0.4</v>
      </c>
      <c r="C29" s="182"/>
      <c r="D29" s="181">
        <v>0.4</v>
      </c>
      <c r="E29" s="182"/>
      <c r="F29" s="68">
        <f>(0.5+0.5+0.5+0.5)/10</f>
        <v>0.2</v>
      </c>
      <c r="G29" s="68">
        <v>0.2</v>
      </c>
    </row>
    <row r="30" spans="1:7" x14ac:dyDescent="0.3">
      <c r="A30" s="67" t="s">
        <v>91</v>
      </c>
      <c r="B30" s="181">
        <v>1.2</v>
      </c>
      <c r="C30" s="182"/>
      <c r="D30" s="181">
        <v>1.2</v>
      </c>
      <c r="E30" s="182"/>
      <c r="F30" s="68">
        <f>(4+4)/10</f>
        <v>0.8</v>
      </c>
      <c r="G30" s="68">
        <v>0.8</v>
      </c>
    </row>
    <row r="31" spans="1:7" x14ac:dyDescent="0.3">
      <c r="A31" s="67" t="s">
        <v>92</v>
      </c>
      <c r="B31" s="181">
        <v>1</v>
      </c>
      <c r="C31" s="182"/>
      <c r="D31" s="181">
        <v>1</v>
      </c>
      <c r="E31" s="182"/>
      <c r="F31" s="68">
        <f>(0.1+0.56+0.5+0.1+0.1+2.25)/10</f>
        <v>0.36100000000000004</v>
      </c>
      <c r="G31" s="68">
        <v>0.36</v>
      </c>
    </row>
    <row r="32" spans="1:7" x14ac:dyDescent="0.3">
      <c r="A32" s="67" t="s">
        <v>93</v>
      </c>
      <c r="B32" s="181">
        <v>5</v>
      </c>
      <c r="C32" s="182"/>
      <c r="D32" s="181">
        <v>5</v>
      </c>
      <c r="E32" s="182"/>
      <c r="F32" s="68">
        <f>(3.3+3.1+3+3.03+3.2+3.8+3.56+3+3+5)/10</f>
        <v>3.3989999999999996</v>
      </c>
      <c r="G32" s="68">
        <v>3.4</v>
      </c>
    </row>
    <row r="33" spans="1:8" ht="15" thickBot="1" x14ac:dyDescent="0.35"/>
    <row r="34" spans="1:8" ht="40.200000000000003" thickBot="1" x14ac:dyDescent="0.35">
      <c r="A34" s="167" t="s">
        <v>45</v>
      </c>
      <c r="B34" s="168"/>
      <c r="C34" s="168"/>
      <c r="D34" s="168"/>
      <c r="E34" s="171" t="s">
        <v>46</v>
      </c>
      <c r="F34" s="172"/>
      <c r="G34" s="173"/>
      <c r="H34" s="30" t="s">
        <v>47</v>
      </c>
    </row>
    <row r="35" spans="1:8" ht="15" thickBot="1" x14ac:dyDescent="0.35">
      <c r="A35" s="169"/>
      <c r="B35" s="170"/>
      <c r="C35" s="170"/>
      <c r="D35" s="170"/>
      <c r="E35" s="31" t="s">
        <v>1</v>
      </c>
      <c r="F35" s="31" t="s">
        <v>2</v>
      </c>
      <c r="G35" s="31" t="s">
        <v>3</v>
      </c>
      <c r="H35" s="32"/>
    </row>
    <row r="36" spans="1:8" ht="15" thickBot="1" x14ac:dyDescent="0.35">
      <c r="A36" s="174" t="s">
        <v>49</v>
      </c>
      <c r="B36" s="175"/>
      <c r="C36" s="175"/>
      <c r="D36" s="175"/>
      <c r="E36" s="31" t="s">
        <v>50</v>
      </c>
      <c r="F36" s="31" t="s">
        <v>51</v>
      </c>
      <c r="G36" s="31" t="s">
        <v>52</v>
      </c>
      <c r="H36" s="31" t="s">
        <v>53</v>
      </c>
    </row>
    <row r="37" spans="1:8" ht="15" thickBot="1" x14ac:dyDescent="0.35">
      <c r="A37" s="174" t="s">
        <v>54</v>
      </c>
      <c r="B37" s="175"/>
      <c r="C37" s="175"/>
      <c r="D37" s="175"/>
      <c r="E37" s="33">
        <f>(58.91+61.65+54.83+57.92+52.03+59.4+59.44+72.27+47.3+60.35)/10</f>
        <v>58.410000000000004</v>
      </c>
      <c r="F37" s="33">
        <f>(58.73+54.74+80.65+59.08+56.01+67.37+63.16+63.03+47.78+71.64)/10</f>
        <v>62.218999999999994</v>
      </c>
      <c r="G37" s="33">
        <f>(239.73+241.82+191.79+259+215.93+215.28+235.41+234.37+217.14+224.3)/10</f>
        <v>227.477</v>
      </c>
      <c r="H37" s="33">
        <f>(1738.9+1754.78+1715.58+1832.8+1561.06+1704.48+1764.3+1811.58+1514.93+1825.63)/10</f>
        <v>1722.404</v>
      </c>
    </row>
    <row r="38" spans="1:8" x14ac:dyDescent="0.3">
      <c r="A38"/>
      <c r="B38"/>
      <c r="C38"/>
      <c r="D38"/>
      <c r="E38"/>
      <c r="F38"/>
      <c r="G38"/>
      <c r="H38"/>
    </row>
  </sheetData>
  <mergeCells count="69">
    <mergeCell ref="A36:D36"/>
    <mergeCell ref="A37:D37"/>
    <mergeCell ref="A34:D35"/>
    <mergeCell ref="E34:G34"/>
    <mergeCell ref="B9:C9"/>
    <mergeCell ref="B19:C19"/>
    <mergeCell ref="B18:C18"/>
    <mergeCell ref="B16:C16"/>
    <mergeCell ref="B17:C17"/>
    <mergeCell ref="B15:C15"/>
    <mergeCell ref="B24:C24"/>
    <mergeCell ref="B23:C23"/>
    <mergeCell ref="B22:C22"/>
    <mergeCell ref="B21:C21"/>
    <mergeCell ref="B20:C20"/>
    <mergeCell ref="B28:C28"/>
    <mergeCell ref="B8:C8"/>
    <mergeCell ref="B7:C7"/>
    <mergeCell ref="B6:C6"/>
    <mergeCell ref="B5:C5"/>
    <mergeCell ref="B14:C14"/>
    <mergeCell ref="B13:C13"/>
    <mergeCell ref="B12:C12"/>
    <mergeCell ref="B11:C11"/>
    <mergeCell ref="B10:C10"/>
    <mergeCell ref="B29:C29"/>
    <mergeCell ref="B27:C27"/>
    <mergeCell ref="B26:C26"/>
    <mergeCell ref="B25:C25"/>
    <mergeCell ref="D30:E30"/>
    <mergeCell ref="D25:E25"/>
    <mergeCell ref="D26:E26"/>
    <mergeCell ref="D27:E27"/>
    <mergeCell ref="D28:E28"/>
    <mergeCell ref="D29:E29"/>
    <mergeCell ref="D31:E31"/>
    <mergeCell ref="D32:E32"/>
    <mergeCell ref="B32:C32"/>
    <mergeCell ref="B31:C31"/>
    <mergeCell ref="B30:C30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A1:G1"/>
    <mergeCell ref="B2:E2"/>
    <mergeCell ref="F2:G2"/>
    <mergeCell ref="A3:A4"/>
    <mergeCell ref="B3:C3"/>
    <mergeCell ref="D3:E3"/>
    <mergeCell ref="B4:C4"/>
    <mergeCell ref="D4:E4"/>
    <mergeCell ref="F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Титульный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свод 10 дней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  <vt:lpstr>'свод 10 дней'!Область_печати</vt:lpstr>
      <vt:lpstr>'Титульный лист'!Область_печати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</dc:creator>
  <cp:lastModifiedBy>Валерия</cp:lastModifiedBy>
  <cp:lastPrinted>2022-05-16T07:30:09Z</cp:lastPrinted>
  <dcterms:created xsi:type="dcterms:W3CDTF">2017-02-04T19:31:45Z</dcterms:created>
  <dcterms:modified xsi:type="dcterms:W3CDTF">2023-10-12T08:41:41Z</dcterms:modified>
  <cp:contentStatus/>
</cp:coreProperties>
</file>